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ngo\dzf\FERS\SZOP\9_wersja pod UA\2_SzOP do opinii IK UP\"/>
    </mc:Choice>
  </mc:AlternateContent>
  <xr:revisionPtr revIDLastSave="0" documentId="13_ncr:1_{9216B8FE-5461-4120-BB4B-C46259F87F5E}" xr6:coauthVersionLast="47" xr6:coauthVersionMax="47" xr10:uidLastSave="{00000000-0000-0000-0000-000000000000}"/>
  <bookViews>
    <workbookView xWindow="-120" yWindow="-120" windowWidth="29040" windowHeight="15720" xr2:uid="{DE2B70B3-F76C-4BD9-81DF-3C4DDCDC810C}"/>
  </bookViews>
  <sheets>
    <sheet name="zał. 2" sheetId="1" r:id="rId1"/>
    <sheet name="zał. 3" sheetId="2" r:id="rId2"/>
  </sheets>
  <definedNames>
    <definedName name="_xlnm.Print_Area" localSheetId="0">'zał. 2'!$A$1:$P$95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2" i="1" l="1"/>
  <c r="J92" i="1"/>
  <c r="J95" i="1"/>
  <c r="K53" i="1"/>
  <c r="K52" i="1"/>
  <c r="I43" i="1"/>
  <c r="K6" i="1"/>
  <c r="K7" i="1"/>
  <c r="D9" i="1"/>
  <c r="K62" i="1" l="1"/>
  <c r="N62" i="1"/>
  <c r="J21" i="1"/>
  <c r="K21" i="1"/>
  <c r="M21" i="1"/>
  <c r="N21" i="1"/>
  <c r="K47" i="1" l="1"/>
  <c r="K46" i="1"/>
  <c r="G47" i="1"/>
  <c r="G46" i="1"/>
  <c r="J6" i="1" l="1"/>
  <c r="S6" i="1" s="1"/>
  <c r="K74" i="1"/>
  <c r="K73" i="1"/>
  <c r="G54" i="1"/>
  <c r="G53" i="1"/>
  <c r="G52" i="1"/>
  <c r="G20" i="1" l="1"/>
  <c r="K87" i="1"/>
  <c r="K86" i="1"/>
  <c r="K85" i="1"/>
  <c r="K84" i="1"/>
  <c r="K83" i="1"/>
  <c r="K82" i="1"/>
  <c r="K81" i="1"/>
  <c r="K80" i="1"/>
  <c r="K79" i="1"/>
  <c r="K78" i="1"/>
  <c r="K77" i="1"/>
  <c r="G87" i="1"/>
  <c r="G86" i="1"/>
  <c r="G85" i="1"/>
  <c r="G84" i="1"/>
  <c r="G83" i="1"/>
  <c r="G82" i="1"/>
  <c r="G81" i="1"/>
  <c r="G80" i="1"/>
  <c r="G79" i="1"/>
  <c r="G78" i="1"/>
  <c r="G77" i="1"/>
  <c r="K70" i="1"/>
  <c r="G70" i="1"/>
  <c r="D72" i="1"/>
  <c r="J72" i="1"/>
  <c r="I72" i="1" s="1"/>
  <c r="K49" i="1"/>
  <c r="G49" i="1"/>
  <c r="K48" i="1"/>
  <c r="G48" i="1"/>
  <c r="N19" i="1"/>
  <c r="N16" i="1"/>
  <c r="N15" i="1"/>
  <c r="N13" i="1"/>
  <c r="N18" i="1"/>
  <c r="N12" i="1"/>
  <c r="N20" i="1"/>
  <c r="N17" i="1"/>
  <c r="N14" i="1"/>
  <c r="N11" i="1"/>
  <c r="N10" i="1"/>
  <c r="M19" i="1"/>
  <c r="M16" i="1"/>
  <c r="M15" i="1"/>
  <c r="M13" i="1"/>
  <c r="M18" i="1"/>
  <c r="M12" i="1"/>
  <c r="M20" i="1"/>
  <c r="M17" i="1"/>
  <c r="M14" i="1"/>
  <c r="M11" i="1"/>
  <c r="M10" i="1"/>
  <c r="L19" i="1"/>
  <c r="L16" i="1"/>
  <c r="L15" i="1"/>
  <c r="L13" i="1"/>
  <c r="L18" i="1"/>
  <c r="L12" i="1"/>
  <c r="L20" i="1"/>
  <c r="L17" i="1"/>
  <c r="L14" i="1"/>
  <c r="L11" i="1"/>
  <c r="L10" i="1"/>
  <c r="K19" i="1"/>
  <c r="K16" i="1"/>
  <c r="K15" i="1"/>
  <c r="K13" i="1"/>
  <c r="K18" i="1"/>
  <c r="K12" i="1"/>
  <c r="K20" i="1"/>
  <c r="K17" i="1"/>
  <c r="K14" i="1"/>
  <c r="K11" i="1"/>
  <c r="K10" i="1"/>
  <c r="G19" i="1"/>
  <c r="G18" i="1"/>
  <c r="G17" i="1"/>
  <c r="G16" i="1"/>
  <c r="G15" i="1"/>
  <c r="G14" i="1"/>
  <c r="G13" i="1"/>
  <c r="G12" i="1"/>
  <c r="G11" i="1"/>
  <c r="G10" i="1"/>
  <c r="D10" i="1" s="1"/>
  <c r="J10" i="1" l="1"/>
  <c r="I10" i="1" s="1"/>
  <c r="O10" i="1" s="1"/>
  <c r="O72" i="1"/>
  <c r="R72" i="1" s="1"/>
  <c r="Q72" i="1"/>
  <c r="S72" i="1"/>
  <c r="F79" i="2" l="1"/>
  <c r="F57" i="2"/>
  <c r="F55" i="2"/>
  <c r="F53" i="2"/>
  <c r="F54" i="2"/>
  <c r="J44" i="1" l="1"/>
  <c r="I44" i="1" s="1"/>
  <c r="J51" i="1"/>
  <c r="I51" i="1" s="1"/>
  <c r="J50" i="1"/>
  <c r="I50" i="1" s="1"/>
  <c r="J49" i="1"/>
  <c r="I49" i="1" s="1"/>
  <c r="J48" i="1"/>
  <c r="I48" i="1" s="1"/>
  <c r="J47" i="1"/>
  <c r="I47" i="1" s="1"/>
  <c r="J46" i="1"/>
  <c r="I46" i="1" s="1"/>
  <c r="J45" i="1"/>
  <c r="I45" i="1" s="1"/>
  <c r="D51" i="1"/>
  <c r="O51" i="1" s="1"/>
  <c r="D50" i="1"/>
  <c r="O50" i="1" s="1"/>
  <c r="D49" i="1"/>
  <c r="D48" i="1"/>
  <c r="D47" i="1"/>
  <c r="D46" i="1"/>
  <c r="D45" i="1"/>
  <c r="D44" i="1"/>
  <c r="O44" i="1" s="1"/>
  <c r="O47" i="1" l="1"/>
  <c r="O46" i="1"/>
  <c r="O45" i="1"/>
  <c r="O49" i="1"/>
  <c r="O48" i="1"/>
  <c r="M92" i="1"/>
  <c r="L9" i="1"/>
  <c r="K92" i="1"/>
  <c r="N94" i="1"/>
  <c r="M94" i="1"/>
  <c r="L94" i="1"/>
  <c r="K94" i="1"/>
  <c r="N93" i="1"/>
  <c r="M93" i="1"/>
  <c r="L93" i="1"/>
  <c r="K93" i="1"/>
  <c r="G94" i="1"/>
  <c r="G93" i="1"/>
  <c r="G92" i="1"/>
  <c r="D92" i="1" s="1"/>
  <c r="J90" i="1"/>
  <c r="J89" i="1"/>
  <c r="J88" i="1"/>
  <c r="I88" i="1" s="1"/>
  <c r="Q88" i="1" s="1"/>
  <c r="J87" i="1"/>
  <c r="I87" i="1" s="1"/>
  <c r="Q87" i="1" s="1"/>
  <c r="J86" i="1"/>
  <c r="S86" i="1" s="1"/>
  <c r="J85" i="1"/>
  <c r="I85" i="1" s="1"/>
  <c r="Q85" i="1" s="1"/>
  <c r="J84" i="1"/>
  <c r="I84" i="1" s="1"/>
  <c r="Q84" i="1" s="1"/>
  <c r="J83" i="1"/>
  <c r="I83" i="1" s="1"/>
  <c r="J82" i="1"/>
  <c r="J81" i="1"/>
  <c r="I81" i="1" s="1"/>
  <c r="Q81" i="1" s="1"/>
  <c r="J80" i="1"/>
  <c r="I80" i="1" s="1"/>
  <c r="Q80" i="1" s="1"/>
  <c r="J79" i="1"/>
  <c r="I79" i="1" s="1"/>
  <c r="Q79" i="1" s="1"/>
  <c r="J78" i="1"/>
  <c r="S78" i="1" s="1"/>
  <c r="J77" i="1"/>
  <c r="I77" i="1" s="1"/>
  <c r="Q77" i="1" s="1"/>
  <c r="J75" i="1"/>
  <c r="J54" i="1"/>
  <c r="I54" i="1" s="1"/>
  <c r="J53" i="1"/>
  <c r="J56" i="1"/>
  <c r="I56" i="1" s="1"/>
  <c r="J71" i="1"/>
  <c r="J70" i="1"/>
  <c r="I70" i="1" s="1"/>
  <c r="Q70" i="1" s="1"/>
  <c r="J69" i="1"/>
  <c r="J68" i="1"/>
  <c r="I68" i="1" s="1"/>
  <c r="Q68" i="1" s="1"/>
  <c r="J67" i="1"/>
  <c r="I67" i="1" s="1"/>
  <c r="Q67" i="1" s="1"/>
  <c r="J66" i="1"/>
  <c r="J65" i="1"/>
  <c r="J64" i="1"/>
  <c r="I64" i="1" s="1"/>
  <c r="J63" i="1"/>
  <c r="J62" i="1"/>
  <c r="I62" i="1" s="1"/>
  <c r="Q62" i="1" s="1"/>
  <c r="J61" i="1"/>
  <c r="J60" i="1"/>
  <c r="I60" i="1" s="1"/>
  <c r="J59" i="1"/>
  <c r="I59" i="1" s="1"/>
  <c r="Q59" i="1" s="1"/>
  <c r="J58" i="1"/>
  <c r="J57" i="1"/>
  <c r="J41" i="1"/>
  <c r="I41" i="1" s="1"/>
  <c r="J42" i="1"/>
  <c r="I42" i="1" s="1"/>
  <c r="S50" i="1"/>
  <c r="S49" i="1"/>
  <c r="S48" i="1"/>
  <c r="S47" i="1"/>
  <c r="Q46" i="1"/>
  <c r="S45" i="1"/>
  <c r="J34" i="1"/>
  <c r="I34" i="1" s="1"/>
  <c r="J35" i="1"/>
  <c r="I35" i="1" s="1"/>
  <c r="J33" i="1"/>
  <c r="J39" i="1"/>
  <c r="J38" i="1"/>
  <c r="J37" i="1"/>
  <c r="I37" i="1" s="1"/>
  <c r="S44" i="1"/>
  <c r="S46" i="1"/>
  <c r="S51" i="1"/>
  <c r="S56" i="1"/>
  <c r="S57" i="1"/>
  <c r="S61" i="1"/>
  <c r="S64" i="1"/>
  <c r="S67" i="1"/>
  <c r="S69" i="1"/>
  <c r="S83" i="1"/>
  <c r="Q44" i="1"/>
  <c r="Q48" i="1"/>
  <c r="Q51" i="1"/>
  <c r="Q56" i="1"/>
  <c r="Q60" i="1"/>
  <c r="Q64" i="1"/>
  <c r="Q83" i="1"/>
  <c r="J11" i="1"/>
  <c r="J12" i="1"/>
  <c r="J13" i="1"/>
  <c r="J14" i="1"/>
  <c r="J15" i="1"/>
  <c r="J16" i="1"/>
  <c r="J17" i="1"/>
  <c r="J18" i="1"/>
  <c r="J19" i="1"/>
  <c r="J20" i="1"/>
  <c r="J22" i="1"/>
  <c r="S22" i="1" s="1"/>
  <c r="J23" i="1"/>
  <c r="S23" i="1" s="1"/>
  <c r="J24" i="1"/>
  <c r="S24" i="1" s="1"/>
  <c r="J25" i="1"/>
  <c r="J26" i="1"/>
  <c r="J27" i="1"/>
  <c r="S27" i="1" s="1"/>
  <c r="J28" i="1"/>
  <c r="S28" i="1" s="1"/>
  <c r="J29" i="1"/>
  <c r="S29" i="1" s="1"/>
  <c r="J30" i="1"/>
  <c r="S30" i="1" s="1"/>
  <c r="J31" i="1"/>
  <c r="S31" i="1" s="1"/>
  <c r="J32" i="1"/>
  <c r="S32" i="1" s="1"/>
  <c r="Q10" i="1"/>
  <c r="S62" i="1" l="1"/>
  <c r="S60" i="1"/>
  <c r="S68" i="1"/>
  <c r="S87" i="1"/>
  <c r="S85" i="1"/>
  <c r="S84" i="1"/>
  <c r="S81" i="1"/>
  <c r="S79" i="1"/>
  <c r="S77" i="1"/>
  <c r="S70" i="1"/>
  <c r="I63" i="1"/>
  <c r="Q63" i="1" s="1"/>
  <c r="I71" i="1"/>
  <c r="Q71" i="1" s="1"/>
  <c r="I30" i="1"/>
  <c r="Q30" i="1" s="1"/>
  <c r="I22" i="1"/>
  <c r="Q22" i="1" s="1"/>
  <c r="I14" i="1"/>
  <c r="Q14" i="1" s="1"/>
  <c r="S59" i="1"/>
  <c r="S89" i="1"/>
  <c r="I89" i="1"/>
  <c r="I15" i="1"/>
  <c r="Q15" i="1" s="1"/>
  <c r="I21" i="1"/>
  <c r="Q21" i="1" s="1"/>
  <c r="I65" i="1"/>
  <c r="Q65" i="1" s="1"/>
  <c r="S53" i="1"/>
  <c r="I53" i="1"/>
  <c r="Q53" i="1" s="1"/>
  <c r="S82" i="1"/>
  <c r="I82" i="1"/>
  <c r="Q82" i="1" s="1"/>
  <c r="S90" i="1"/>
  <c r="I90" i="1"/>
  <c r="Q90" i="1" s="1"/>
  <c r="I28" i="1"/>
  <c r="Q28" i="1" s="1"/>
  <c r="I20" i="1"/>
  <c r="Q20" i="1" s="1"/>
  <c r="I12" i="1"/>
  <c r="Q12" i="1" s="1"/>
  <c r="S21" i="1"/>
  <c r="S58" i="1"/>
  <c r="I58" i="1"/>
  <c r="Q58" i="1" s="1"/>
  <c r="S66" i="1"/>
  <c r="I66" i="1"/>
  <c r="Q66" i="1" s="1"/>
  <c r="S75" i="1"/>
  <c r="I75" i="1"/>
  <c r="Q75" i="1" s="1"/>
  <c r="I26" i="1"/>
  <c r="Q26" i="1" s="1"/>
  <c r="I18" i="1"/>
  <c r="Q18" i="1" s="1"/>
  <c r="S88" i="1"/>
  <c r="S38" i="1"/>
  <c r="I38" i="1"/>
  <c r="I23" i="1"/>
  <c r="Q23" i="1" s="1"/>
  <c r="I29" i="1"/>
  <c r="Q29" i="1" s="1"/>
  <c r="I57" i="1"/>
  <c r="Q57" i="1" s="1"/>
  <c r="I19" i="1"/>
  <c r="Q19" i="1" s="1"/>
  <c r="S65" i="1"/>
  <c r="I25" i="1"/>
  <c r="Q25" i="1" s="1"/>
  <c r="I17" i="1"/>
  <c r="Q17" i="1" s="1"/>
  <c r="S26" i="1"/>
  <c r="S39" i="1"/>
  <c r="I39" i="1"/>
  <c r="Q39" i="1" s="1"/>
  <c r="I61" i="1"/>
  <c r="Q61" i="1" s="1"/>
  <c r="I69" i="1"/>
  <c r="Q69" i="1" s="1"/>
  <c r="I78" i="1"/>
  <c r="Q78" i="1" s="1"/>
  <c r="I86" i="1"/>
  <c r="Q86" i="1" s="1"/>
  <c r="I31" i="1"/>
  <c r="Q31" i="1" s="1"/>
  <c r="I13" i="1"/>
  <c r="Q13" i="1" s="1"/>
  <c r="I27" i="1"/>
  <c r="Q27" i="1" s="1"/>
  <c r="I11" i="1"/>
  <c r="Q11" i="1" s="1"/>
  <c r="S80" i="1"/>
  <c r="I32" i="1"/>
  <c r="Q32" i="1" s="1"/>
  <c r="I24" i="1"/>
  <c r="Q24" i="1" s="1"/>
  <c r="I16" i="1"/>
  <c r="Q16" i="1" s="1"/>
  <c r="S37" i="1"/>
  <c r="S25" i="1"/>
  <c r="I33" i="1"/>
  <c r="Q33" i="1" s="1"/>
  <c r="S19" i="1"/>
  <c r="S16" i="1"/>
  <c r="S15" i="1"/>
  <c r="S13" i="1"/>
  <c r="S18" i="1"/>
  <c r="S12" i="1"/>
  <c r="S20" i="1"/>
  <c r="S17" i="1"/>
  <c r="S14" i="1"/>
  <c r="S11" i="1"/>
  <c r="S10" i="1"/>
  <c r="L92" i="1"/>
  <c r="Q89" i="1"/>
  <c r="J73" i="1"/>
  <c r="J74" i="1"/>
  <c r="J52" i="1"/>
  <c r="Q54" i="1"/>
  <c r="S54" i="1"/>
  <c r="S71" i="1"/>
  <c r="S63" i="1"/>
  <c r="J40" i="1"/>
  <c r="S40" i="1" s="1"/>
  <c r="S41" i="1"/>
  <c r="Q41" i="1"/>
  <c r="S42" i="1"/>
  <c r="Q42" i="1"/>
  <c r="Q50" i="1"/>
  <c r="Q49" i="1"/>
  <c r="Q47" i="1"/>
  <c r="Q45" i="1"/>
  <c r="S35" i="1"/>
  <c r="Q35" i="1"/>
  <c r="Q34" i="1"/>
  <c r="S34" i="1"/>
  <c r="S33" i="1"/>
  <c r="G121" i="2"/>
  <c r="G117" i="2"/>
  <c r="G81" i="2"/>
  <c r="G59" i="2"/>
  <c r="G50" i="2"/>
  <c r="G46" i="2"/>
  <c r="D77" i="1"/>
  <c r="D78" i="1"/>
  <c r="O78" i="1" s="1"/>
  <c r="R78" i="1" s="1"/>
  <c r="D79" i="1"/>
  <c r="O79" i="1" s="1"/>
  <c r="R79" i="1" s="1"/>
  <c r="D80" i="1"/>
  <c r="O80" i="1" s="1"/>
  <c r="R80" i="1" s="1"/>
  <c r="D81" i="1"/>
  <c r="O81" i="1" s="1"/>
  <c r="R81" i="1" s="1"/>
  <c r="D82" i="1"/>
  <c r="D83" i="1"/>
  <c r="D84" i="1"/>
  <c r="D85" i="1"/>
  <c r="D86" i="1"/>
  <c r="D87" i="1"/>
  <c r="O87" i="1" s="1"/>
  <c r="R87" i="1" s="1"/>
  <c r="D11" i="1"/>
  <c r="D12" i="1"/>
  <c r="D13" i="1"/>
  <c r="O13" i="1" s="1"/>
  <c r="R13" i="1" s="1"/>
  <c r="D14" i="1"/>
  <c r="D15" i="1"/>
  <c r="D16" i="1"/>
  <c r="D17" i="1"/>
  <c r="D18" i="1"/>
  <c r="D19" i="1"/>
  <c r="D20" i="1"/>
  <c r="R47" i="1"/>
  <c r="I40" i="1" l="1"/>
  <c r="Q40" i="1" s="1"/>
  <c r="I52" i="1"/>
  <c r="Q52" i="1" s="1"/>
  <c r="O15" i="1"/>
  <c r="R15" i="1" s="1"/>
  <c r="S74" i="1"/>
  <c r="I74" i="1"/>
  <c r="Q74" i="1" s="1"/>
  <c r="S73" i="1"/>
  <c r="I73" i="1"/>
  <c r="Q73" i="1" s="1"/>
  <c r="S52" i="1"/>
  <c r="Q38" i="1"/>
  <c r="Q37" i="1"/>
  <c r="H121" i="2"/>
  <c r="O86" i="1"/>
  <c r="R86" i="1" s="1"/>
  <c r="O85" i="1"/>
  <c r="R85" i="1" s="1"/>
  <c r="O84" i="1"/>
  <c r="R84" i="1" s="1"/>
  <c r="O83" i="1"/>
  <c r="R83" i="1" s="1"/>
  <c r="O82" i="1"/>
  <c r="R82" i="1" s="1"/>
  <c r="O77" i="1"/>
  <c r="R77" i="1" s="1"/>
  <c r="O17" i="1"/>
  <c r="R17" i="1" s="1"/>
  <c r="O18" i="1"/>
  <c r="R18" i="1" s="1"/>
  <c r="O14" i="1"/>
  <c r="R14" i="1" s="1"/>
  <c r="O16" i="1"/>
  <c r="R16" i="1" s="1"/>
  <c r="O20" i="1"/>
  <c r="R20" i="1" s="1"/>
  <c r="O12" i="1"/>
  <c r="R12" i="1" s="1"/>
  <c r="O19" i="1"/>
  <c r="R19" i="1" s="1"/>
  <c r="O11" i="1"/>
  <c r="R11" i="1" s="1"/>
  <c r="R10" i="1"/>
  <c r="P36" i="1"/>
  <c r="N36" i="1"/>
  <c r="M36" i="1"/>
  <c r="L36" i="1"/>
  <c r="K36" i="1"/>
  <c r="J36" i="1"/>
  <c r="H36" i="1"/>
  <c r="G36" i="1"/>
  <c r="F36" i="1"/>
  <c r="E36" i="1"/>
  <c r="P43" i="1"/>
  <c r="N43" i="1"/>
  <c r="M43" i="1"/>
  <c r="L43" i="1"/>
  <c r="K43" i="1"/>
  <c r="J43" i="1"/>
  <c r="H43" i="1"/>
  <c r="G43" i="1"/>
  <c r="F43" i="1"/>
  <c r="E43" i="1"/>
  <c r="P55" i="1"/>
  <c r="N55" i="1"/>
  <c r="M55" i="1"/>
  <c r="L55" i="1"/>
  <c r="K55" i="1"/>
  <c r="J55" i="1"/>
  <c r="H55" i="1"/>
  <c r="G55" i="1"/>
  <c r="F55" i="1"/>
  <c r="E55" i="1"/>
  <c r="P76" i="1"/>
  <c r="N76" i="1"/>
  <c r="M76" i="1"/>
  <c r="L76" i="1"/>
  <c r="K76" i="1"/>
  <c r="J76" i="1"/>
  <c r="I76" i="1"/>
  <c r="H76" i="1"/>
  <c r="G76" i="1"/>
  <c r="F76" i="1"/>
  <c r="E76" i="1"/>
  <c r="E91" i="1"/>
  <c r="F91" i="1"/>
  <c r="G91" i="1"/>
  <c r="H91" i="1"/>
  <c r="I91" i="1"/>
  <c r="J91" i="1"/>
  <c r="K91" i="1"/>
  <c r="L91" i="1"/>
  <c r="M91" i="1"/>
  <c r="N91" i="1"/>
  <c r="P91" i="1"/>
  <c r="E95" i="1"/>
  <c r="F95" i="1"/>
  <c r="H95" i="1"/>
  <c r="K95" i="1"/>
  <c r="L95" i="1"/>
  <c r="M95" i="1"/>
  <c r="P95" i="1"/>
  <c r="D90" i="1"/>
  <c r="E9" i="1"/>
  <c r="F9" i="1"/>
  <c r="G9" i="1"/>
  <c r="H9" i="1"/>
  <c r="D75" i="1"/>
  <c r="D74" i="1"/>
  <c r="D73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O57" i="1" s="1"/>
  <c r="D56" i="1"/>
  <c r="D54" i="1"/>
  <c r="O54" i="1" s="1"/>
  <c r="R54" i="1" s="1"/>
  <c r="D53" i="1"/>
  <c r="D52" i="1"/>
  <c r="D42" i="1"/>
  <c r="D41" i="1"/>
  <c r="D40" i="1"/>
  <c r="D39" i="1"/>
  <c r="D38" i="1"/>
  <c r="D37" i="1"/>
  <c r="D35" i="1"/>
  <c r="D34" i="1"/>
  <c r="D33" i="1"/>
  <c r="D88" i="1"/>
  <c r="D89" i="1"/>
  <c r="D32" i="1"/>
  <c r="D31" i="1"/>
  <c r="D30" i="1"/>
  <c r="D29" i="1"/>
  <c r="D28" i="1"/>
  <c r="D27" i="1"/>
  <c r="D26" i="1"/>
  <c r="D25" i="1"/>
  <c r="D24" i="1"/>
  <c r="D23" i="1"/>
  <c r="D22" i="1"/>
  <c r="D21" i="1"/>
  <c r="D7" i="1"/>
  <c r="D8" i="1"/>
  <c r="D6" i="1"/>
  <c r="I55" i="1" l="1"/>
  <c r="Q43" i="1"/>
  <c r="S91" i="1"/>
  <c r="S76" i="1"/>
  <c r="Q76" i="1"/>
  <c r="S55" i="1"/>
  <c r="S43" i="1"/>
  <c r="Q55" i="1"/>
  <c r="S36" i="1"/>
  <c r="Q91" i="1"/>
  <c r="D94" i="1"/>
  <c r="D93" i="1"/>
  <c r="D43" i="1"/>
  <c r="D76" i="1"/>
  <c r="D91" i="1"/>
  <c r="D36" i="1"/>
  <c r="D55" i="1"/>
  <c r="N95" i="1"/>
  <c r="I36" i="1"/>
  <c r="Q36" i="1" s="1"/>
  <c r="O59" i="1"/>
  <c r="R59" i="1" s="1"/>
  <c r="O63" i="1"/>
  <c r="R63" i="1" s="1"/>
  <c r="O67" i="1"/>
  <c r="R67" i="1" s="1"/>
  <c r="O60" i="1"/>
  <c r="R60" i="1" s="1"/>
  <c r="O64" i="1"/>
  <c r="R64" i="1" s="1"/>
  <c r="O68" i="1"/>
  <c r="R68" i="1" s="1"/>
  <c r="O66" i="1"/>
  <c r="R66" i="1" s="1"/>
  <c r="O70" i="1"/>
  <c r="R70" i="1" s="1"/>
  <c r="O71" i="1"/>
  <c r="R71" i="1" s="1"/>
  <c r="O58" i="1"/>
  <c r="R58" i="1" s="1"/>
  <c r="O69" i="1"/>
  <c r="R69" i="1" s="1"/>
  <c r="R45" i="1"/>
  <c r="R48" i="1"/>
  <c r="R44" i="1"/>
  <c r="R49" i="1"/>
  <c r="R50" i="1"/>
  <c r="R46" i="1"/>
  <c r="O37" i="1"/>
  <c r="R37" i="1" s="1"/>
  <c r="O38" i="1"/>
  <c r="R38" i="1" s="1"/>
  <c r="G95" i="1"/>
  <c r="O89" i="1"/>
  <c r="R89" i="1" s="1"/>
  <c r="O75" i="1"/>
  <c r="R75" i="1" s="1"/>
  <c r="O74" i="1"/>
  <c r="R74" i="1" s="1"/>
  <c r="O73" i="1"/>
  <c r="R73" i="1" s="1"/>
  <c r="O52" i="1"/>
  <c r="R52" i="1" s="1"/>
  <c r="O53" i="1"/>
  <c r="R53" i="1" s="1"/>
  <c r="O40" i="1"/>
  <c r="R40" i="1" s="1"/>
  <c r="O42" i="1"/>
  <c r="R42" i="1" s="1"/>
  <c r="O21" i="1"/>
  <c r="R21" i="1" s="1"/>
  <c r="O32" i="1"/>
  <c r="R32" i="1" s="1"/>
  <c r="O88" i="1"/>
  <c r="R88" i="1" s="1"/>
  <c r="O39" i="1"/>
  <c r="R39" i="1" s="1"/>
  <c r="R51" i="1"/>
  <c r="O62" i="1"/>
  <c r="R62" i="1" s="1"/>
  <c r="O56" i="1"/>
  <c r="R56" i="1" s="1"/>
  <c r="O22" i="1"/>
  <c r="R22" i="1" s="1"/>
  <c r="O26" i="1"/>
  <c r="R26" i="1" s="1"/>
  <c r="O41" i="1"/>
  <c r="R41" i="1" s="1"/>
  <c r="R57" i="1"/>
  <c r="O61" i="1"/>
  <c r="R61" i="1" s="1"/>
  <c r="O65" i="1"/>
  <c r="R65" i="1" s="1"/>
  <c r="O33" i="1"/>
  <c r="R33" i="1" s="1"/>
  <c r="O34" i="1"/>
  <c r="R34" i="1" s="1"/>
  <c r="O35" i="1"/>
  <c r="R35" i="1" s="1"/>
  <c r="O90" i="1"/>
  <c r="R90" i="1" s="1"/>
  <c r="O31" i="1"/>
  <c r="R31" i="1" s="1"/>
  <c r="O28" i="1"/>
  <c r="R28" i="1" s="1"/>
  <c r="O29" i="1"/>
  <c r="R29" i="1" s="1"/>
  <c r="O23" i="1"/>
  <c r="R23" i="1" s="1"/>
  <c r="O27" i="1"/>
  <c r="R27" i="1" s="1"/>
  <c r="O30" i="1"/>
  <c r="R30" i="1" s="1"/>
  <c r="O24" i="1"/>
  <c r="R24" i="1" s="1"/>
  <c r="O25" i="1"/>
  <c r="R25" i="1" s="1"/>
  <c r="D95" i="1" l="1"/>
  <c r="J7" i="1"/>
  <c r="I7" i="1" s="1"/>
  <c r="K9" i="1"/>
  <c r="J8" i="1"/>
  <c r="I8" i="1" s="1"/>
  <c r="O76" i="1"/>
  <c r="R76" i="1" s="1"/>
  <c r="O91" i="1"/>
  <c r="R91" i="1" s="1"/>
  <c r="O55" i="1"/>
  <c r="R55" i="1" s="1"/>
  <c r="O43" i="1"/>
  <c r="R43" i="1" s="1"/>
  <c r="O36" i="1"/>
  <c r="R36" i="1" s="1"/>
  <c r="I94" i="1" l="1"/>
  <c r="O94" i="1" s="1"/>
  <c r="R94" i="1" s="1"/>
  <c r="O8" i="1"/>
  <c r="R8" i="1" s="1"/>
  <c r="I93" i="1"/>
  <c r="O93" i="1" s="1"/>
  <c r="R93" i="1" s="1"/>
  <c r="O7" i="1"/>
  <c r="R7" i="1" s="1"/>
  <c r="Q8" i="1"/>
  <c r="J94" i="1"/>
  <c r="S8" i="1"/>
  <c r="S7" i="1"/>
  <c r="J93" i="1"/>
  <c r="I6" i="1"/>
  <c r="M9" i="1"/>
  <c r="Q7" i="1"/>
  <c r="N9" i="1"/>
  <c r="I92" i="1" l="1"/>
  <c r="Q6" i="1"/>
  <c r="I9" i="1"/>
  <c r="O6" i="1"/>
  <c r="O9" i="1" s="1"/>
  <c r="Q93" i="1"/>
  <c r="S93" i="1"/>
  <c r="S94" i="1"/>
  <c r="Q94" i="1"/>
  <c r="J9" i="1"/>
  <c r="R6" i="1" l="1"/>
  <c r="R9" i="1"/>
  <c r="O92" i="1"/>
  <c r="O95" i="1" s="1"/>
  <c r="I95" i="1"/>
  <c r="Q9" i="1"/>
  <c r="S9" i="1"/>
  <c r="S92" i="1"/>
  <c r="Q92" i="1"/>
  <c r="R95" i="1" l="1"/>
  <c r="R92" i="1"/>
  <c r="S95" i="1"/>
  <c r="Q95" i="1"/>
</calcChain>
</file>

<file path=xl/sharedStrings.xml><?xml version="1.0" encoding="utf-8"?>
<sst xmlns="http://schemas.openxmlformats.org/spreadsheetml/2006/main" count="396" uniqueCount="107">
  <si>
    <t>Załącznik 2. Alokacja programów w podziale na działania, wsparcie UE i wkład krajowy (w EUR)</t>
  </si>
  <si>
    <t>Kategorie regionów</t>
  </si>
  <si>
    <t>Wsparcie UE</t>
  </si>
  <si>
    <t>Wkład krajowy</t>
  </si>
  <si>
    <t>Krajowe środki publiczne</t>
  </si>
  <si>
    <t>Krajowe środki prywatne</t>
  </si>
  <si>
    <t>Finansowanie ogółem</t>
  </si>
  <si>
    <t>Wkład EBI</t>
  </si>
  <si>
    <t>ogółem</t>
  </si>
  <si>
    <t>FS</t>
  </si>
  <si>
    <t>EFRR</t>
  </si>
  <si>
    <t>EFS+</t>
  </si>
  <si>
    <t>FST (*)</t>
  </si>
  <si>
    <t>budżet JST</t>
  </si>
  <si>
    <t>inne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</si>
  <si>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</si>
  <si>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</si>
  <si>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</si>
  <si>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</si>
  <si>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</si>
  <si>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</si>
  <si>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</si>
  <si>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</si>
  <si>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</si>
  <si>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</si>
  <si>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</si>
  <si>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</si>
  <si>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</si>
  <si>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</si>
  <si>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słabiej rozwinięte</t>
  </si>
  <si>
    <t>lepiej rozwinięty</t>
  </si>
  <si>
    <t>w okresie przejściowym</t>
  </si>
  <si>
    <t>Ogółem</t>
  </si>
  <si>
    <t>ND</t>
  </si>
  <si>
    <t>RAZEM</t>
  </si>
  <si>
    <t>(*) kwoty z tabeli finansowej programu odpowiadającej art. 22 ust. 3 lit. g (ii) Rozporządzenia ogólnego,</t>
  </si>
  <si>
    <t>(**) obejmuje cały wkład z budżetu państwa (cz. 34 i inne).</t>
  </si>
  <si>
    <t>=h+i+j</t>
  </si>
  <si>
    <t>=a+f</t>
  </si>
  <si>
    <t>b</t>
  </si>
  <si>
    <t>budżet państwa (**)</t>
  </si>
  <si>
    <t>Priorytet (numer)</t>
  </si>
  <si>
    <t>Cel szczegółowy (numer)</t>
  </si>
  <si>
    <t>Priorytet I</t>
  </si>
  <si>
    <t>Działanie 01.02</t>
  </si>
  <si>
    <t>Działanie 01.01</t>
  </si>
  <si>
    <t>Działanie 01.03</t>
  </si>
  <si>
    <t>Działanie 01.04</t>
  </si>
  <si>
    <t>Działanie 01.05</t>
  </si>
  <si>
    <t>Działanie 01.06</t>
  </si>
  <si>
    <t>Działanie 01.07</t>
  </si>
  <si>
    <t>Działanie 01.08</t>
  </si>
  <si>
    <t>Działanie 01.09</t>
  </si>
  <si>
    <t>Działanie 01.10</t>
  </si>
  <si>
    <t>Działanie 01.11</t>
  </si>
  <si>
    <t>Działanie 01.12</t>
  </si>
  <si>
    <t>Działanie 01.13</t>
  </si>
  <si>
    <t>Priorytet II</t>
  </si>
  <si>
    <t>Działanie 02.01</t>
  </si>
  <si>
    <t>Działanie 02.02</t>
  </si>
  <si>
    <t>Działanie 02.03</t>
  </si>
  <si>
    <t>Priorytet III</t>
  </si>
  <si>
    <t>Działanie 03.01</t>
  </si>
  <si>
    <t>Działanie 03.02</t>
  </si>
  <si>
    <t>Działanie 03.03</t>
  </si>
  <si>
    <t>Działanie 03.04</t>
  </si>
  <si>
    <t>Działanie 03.05</t>
  </si>
  <si>
    <t>Działanie 03.06</t>
  </si>
  <si>
    <t>Działanie 03.07</t>
  </si>
  <si>
    <t>Priorytet IV</t>
  </si>
  <si>
    <t>Działanie 04.01</t>
  </si>
  <si>
    <t>Działanie 04.02</t>
  </si>
  <si>
    <t>Działanie 04.03</t>
  </si>
  <si>
    <t>Działanie 04.04</t>
  </si>
  <si>
    <t>Działanie 04.05</t>
  </si>
  <si>
    <t>Działanie 04.06</t>
  </si>
  <si>
    <t>Działanie 04.07</t>
  </si>
  <si>
    <t>Działanie 04.08</t>
  </si>
  <si>
    <t>Działanie 04.09</t>
  </si>
  <si>
    <t>Działanie 04.10</t>
  </si>
  <si>
    <t>Działanie 04.11</t>
  </si>
  <si>
    <t>Działanie 04.12</t>
  </si>
  <si>
    <t>Działanie 04.13</t>
  </si>
  <si>
    <t>Działanie 04.14</t>
  </si>
  <si>
    <t>Działanie 04.15</t>
  </si>
  <si>
    <t>Działanie 04.16</t>
  </si>
  <si>
    <t>Priorytet V</t>
  </si>
  <si>
    <t>Działanie 05.01</t>
  </si>
  <si>
    <r>
      <t>Priorytet VI</t>
    </r>
    <r>
      <rPr>
        <b/>
        <sz val="12"/>
        <color rgb="FF000000"/>
        <rFont val="Arial"/>
        <family val="2"/>
        <charset val="238"/>
      </rPr>
      <t xml:space="preserve"> Pomoc techniczna</t>
    </r>
  </si>
  <si>
    <t>Załącznik 3. Alokacja programów w podziale na działania i zakres interwencji</t>
  </si>
  <si>
    <t>Priorytet</t>
  </si>
  <si>
    <t>(numer)</t>
  </si>
  <si>
    <t>Cel Polityki</t>
  </si>
  <si>
    <t>Działanie</t>
  </si>
  <si>
    <t>Cel szczegółowy</t>
  </si>
  <si>
    <t>Zakres interwencji</t>
  </si>
  <si>
    <t>(kod)</t>
  </si>
  <si>
    <t>Orientacyjna alokacja UE (EUR)</t>
  </si>
  <si>
    <t>CP 4</t>
  </si>
  <si>
    <t xml:space="preserve">a </t>
  </si>
  <si>
    <t>a-i, k-l</t>
  </si>
  <si>
    <t>Działanie 06.01</t>
  </si>
  <si>
    <t>nd</t>
  </si>
  <si>
    <t>f,h,k,</t>
  </si>
  <si>
    <t>a,c,d,e,g,h,i,k,l</t>
  </si>
  <si>
    <t>Priorytet VI</t>
  </si>
  <si>
    <t>Działanie 04.17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</si>
</sst>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FFFF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7" xfId="0" quotePrefix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4" fillId="0" borderId="10" xfId="0" applyFont="1" applyFill="1" applyBorder="1" applyAlignment="1">
      <alignment horizontal="center" vertical="center" wrapText="1"/>
    </xf>
    <xf numFmtId="10" fontId="0" fillId="0" borderId="0" xfId="1" applyNumberFormat="1" applyFont="1"/>
    <xf numFmtId="4" fontId="0" fillId="0" borderId="0" xfId="0" applyNumberFormat="1"/>
    <xf numFmtId="4" fontId="8" fillId="3" borderId="7" xfId="0" applyNumberFormat="1" applyFont="1" applyFill="1" applyBorder="1" applyAlignment="1">
      <alignment vertical="center" wrapText="1"/>
    </xf>
    <xf numFmtId="4" fontId="8" fillId="3" borderId="11" xfId="0" applyNumberFormat="1" applyFont="1" applyFill="1" applyBorder="1" applyAlignment="1">
      <alignment vertical="center" wrapText="1"/>
    </xf>
    <xf numFmtId="4" fontId="8" fillId="0" borderId="11" xfId="0" applyNumberFormat="1" applyFont="1" applyFill="1" applyBorder="1" applyAlignment="1">
      <alignment vertical="center" wrapText="1"/>
    </xf>
    <xf numFmtId="0" fontId="0" fillId="0" borderId="0" xfId="0" applyFill="1"/>
    <xf numFmtId="0" fontId="9" fillId="2" borderId="7" xfId="0" applyFont="1" applyFill="1" applyBorder="1" applyAlignment="1">
      <alignment vertical="center" wrapText="1"/>
    </xf>
    <xf numFmtId="4" fontId="9" fillId="2" borderId="7" xfId="0" applyNumberFormat="1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4" fontId="10" fillId="2" borderId="7" xfId="0" applyNumberFormat="1" applyFont="1" applyFill="1" applyBorder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4" fontId="8" fillId="3" borderId="5" xfId="0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4" fontId="8" fillId="0" borderId="16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 wrapText="1"/>
    </xf>
    <xf numFmtId="4" fontId="8" fillId="4" borderId="5" xfId="0" applyNumberFormat="1" applyFont="1" applyFill="1" applyBorder="1" applyAlignment="1">
      <alignment vertical="center" wrapText="1"/>
    </xf>
    <xf numFmtId="4" fontId="8" fillId="4" borderId="7" xfId="0" applyNumberFormat="1" applyFont="1" applyFill="1" applyBorder="1" applyAlignment="1">
      <alignment vertical="center" wrapText="1"/>
    </xf>
    <xf numFmtId="4" fontId="8" fillId="4" borderId="11" xfId="0" applyNumberFormat="1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4" fontId="11" fillId="4" borderId="5" xfId="0" applyNumberFormat="1" applyFont="1" applyFill="1" applyBorder="1" applyAlignment="1">
      <alignment vertical="center" wrapText="1"/>
    </xf>
    <xf numFmtId="4" fontId="11" fillId="4" borderId="7" xfId="0" applyNumberFormat="1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4" fontId="8" fillId="0" borderId="14" xfId="0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81A25-275E-47BF-B003-9C6712096DBD}">
  <sheetPr>
    <pageSetUpPr fitToPage="1"/>
  </sheetPr>
  <dimension ref="A1:Y99"/>
  <sheetViews>
    <sheetView tabSelected="1" zoomScale="85" zoomScaleNormal="85" workbookViewId="0">
      <pane ySplit="5" topLeftCell="A75" activePane="bottomLeft" state="frozen"/>
      <selection activeCell="J78" sqref="J78"/>
      <selection pane="bottomLeft" activeCell="D64" sqref="D64"/>
    </sheetView>
  </sheetViews>
  <sheetFormatPr defaultRowHeight="15" x14ac:dyDescent="0.25"/>
  <cols>
    <col min="1" max="1" width="17.85546875" customWidth="1"/>
    <col min="2" max="2" width="11.42578125" customWidth="1"/>
    <col min="3" max="3" width="25" customWidth="1"/>
    <col min="4" max="4" width="23.140625" customWidth="1"/>
    <col min="5" max="6" width="8.85546875" customWidth="1"/>
    <col min="7" max="7" width="22.7109375" customWidth="1"/>
    <col min="8" max="8" width="8.85546875" customWidth="1"/>
    <col min="9" max="14" width="19.28515625" customWidth="1"/>
    <col min="15" max="15" width="22.7109375" customWidth="1"/>
    <col min="16" max="16" width="8.85546875" customWidth="1"/>
    <col min="17" max="17" width="17.42578125" hidden="1" customWidth="1"/>
    <col min="18" max="19" width="8.85546875" hidden="1" customWidth="1"/>
    <col min="20" max="20" width="8.85546875" customWidth="1"/>
    <col min="21" max="21" width="19.28515625" customWidth="1"/>
    <col min="22" max="25" width="15.28515625" customWidth="1"/>
  </cols>
  <sheetData>
    <row r="1" spans="1:25" ht="16.5" thickBot="1" x14ac:dyDescent="0.3">
      <c r="A1" s="1" t="s">
        <v>0</v>
      </c>
    </row>
    <row r="2" spans="1:25" ht="53.45" customHeight="1" thickBot="1" x14ac:dyDescent="0.3">
      <c r="A2" s="42" t="s">
        <v>41</v>
      </c>
      <c r="B2" s="39" t="s">
        <v>42</v>
      </c>
      <c r="C2" s="39" t="s">
        <v>1</v>
      </c>
      <c r="D2" s="51" t="s">
        <v>2</v>
      </c>
      <c r="E2" s="52"/>
      <c r="F2" s="52"/>
      <c r="G2" s="52"/>
      <c r="H2" s="53"/>
      <c r="I2" s="3" t="s">
        <v>3</v>
      </c>
      <c r="J2" s="51" t="s">
        <v>4</v>
      </c>
      <c r="K2" s="52"/>
      <c r="L2" s="52"/>
      <c r="M2" s="53"/>
      <c r="N2" s="42" t="s">
        <v>5</v>
      </c>
      <c r="O2" s="42" t="s">
        <v>6</v>
      </c>
      <c r="P2" s="42" t="s">
        <v>7</v>
      </c>
    </row>
    <row r="3" spans="1:25" ht="32.25" thickBot="1" x14ac:dyDescent="0.3">
      <c r="A3" s="43"/>
      <c r="B3" s="40"/>
      <c r="C3" s="40"/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8</v>
      </c>
      <c r="J3" s="2" t="s">
        <v>8</v>
      </c>
      <c r="K3" s="4" t="s">
        <v>40</v>
      </c>
      <c r="L3" s="2" t="s">
        <v>13</v>
      </c>
      <c r="M3" s="2" t="s">
        <v>14</v>
      </c>
      <c r="N3" s="43"/>
      <c r="O3" s="43"/>
      <c r="P3" s="43"/>
      <c r="Q3" s="19"/>
    </row>
    <row r="4" spans="1:25" ht="16.5" thickBot="1" x14ac:dyDescent="0.3">
      <c r="A4" s="43"/>
      <c r="B4" s="40"/>
      <c r="C4" s="40"/>
      <c r="D4" s="10" t="s">
        <v>15</v>
      </c>
      <c r="E4" s="3" t="s">
        <v>39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24</v>
      </c>
      <c r="O4" s="3" t="s">
        <v>25</v>
      </c>
      <c r="P4" s="3" t="s">
        <v>26</v>
      </c>
    </row>
    <row r="5" spans="1:25" ht="16.5" thickBot="1" x14ac:dyDescent="0.3">
      <c r="A5" s="44"/>
      <c r="B5" s="41"/>
      <c r="C5" s="41"/>
      <c r="D5" s="4" t="s">
        <v>27</v>
      </c>
      <c r="E5" s="4"/>
      <c r="F5" s="4"/>
      <c r="G5" s="4"/>
      <c r="H5" s="5"/>
      <c r="I5" s="5" t="s">
        <v>28</v>
      </c>
      <c r="J5" s="9" t="s">
        <v>37</v>
      </c>
      <c r="K5" s="5"/>
      <c r="L5" s="5"/>
      <c r="M5" s="5"/>
      <c r="N5" s="5"/>
      <c r="O5" s="9" t="s">
        <v>38</v>
      </c>
      <c r="P5" s="5"/>
    </row>
    <row r="6" spans="1:25" ht="16.899999999999999" customHeight="1" thickBot="1" x14ac:dyDescent="0.3">
      <c r="A6" s="45" t="s">
        <v>43</v>
      </c>
      <c r="B6" s="48" t="s">
        <v>100</v>
      </c>
      <c r="C6" s="66" t="s">
        <v>29</v>
      </c>
      <c r="D6" s="67">
        <f>G6</f>
        <v>1520060766</v>
      </c>
      <c r="E6" s="67"/>
      <c r="F6" s="67"/>
      <c r="G6" s="67">
        <v>1520060766</v>
      </c>
      <c r="H6" s="68"/>
      <c r="I6" s="68">
        <f t="shared" ref="I6:I8" si="0">J6+N6</f>
        <v>268246018</v>
      </c>
      <c r="J6" s="69">
        <f>K6+L6+M6</f>
        <v>245577936</v>
      </c>
      <c r="K6" s="68">
        <f>238815577+1</f>
        <v>238815578</v>
      </c>
      <c r="L6" s="68">
        <v>111102</v>
      </c>
      <c r="M6" s="68">
        <v>6651256</v>
      </c>
      <c r="N6" s="68">
        <v>22668082</v>
      </c>
      <c r="O6" s="68">
        <f>D6+I6</f>
        <v>1788306784</v>
      </c>
      <c r="P6" s="68"/>
      <c r="Q6" s="18" t="b">
        <f>I6=J6+N6</f>
        <v>1</v>
      </c>
      <c r="R6" t="b">
        <f>G6+I6=O6</f>
        <v>1</v>
      </c>
      <c r="S6" t="b">
        <f>J6=K6+L6+M6</f>
        <v>1</v>
      </c>
      <c r="U6" s="19"/>
      <c r="V6" s="19"/>
      <c r="W6" s="19"/>
      <c r="X6" s="19"/>
      <c r="Y6" s="19"/>
    </row>
    <row r="7" spans="1:25" ht="16.899999999999999" customHeight="1" thickBot="1" x14ac:dyDescent="0.3">
      <c r="A7" s="46"/>
      <c r="B7" s="49"/>
      <c r="C7" s="66" t="s">
        <v>30</v>
      </c>
      <c r="D7" s="67">
        <f t="shared" ref="D7:D89" si="1">G7</f>
        <v>44672207</v>
      </c>
      <c r="E7" s="68"/>
      <c r="F7" s="68"/>
      <c r="G7" s="68">
        <v>44672207</v>
      </c>
      <c r="H7" s="68"/>
      <c r="I7" s="68">
        <f t="shared" si="0"/>
        <v>44672207</v>
      </c>
      <c r="J7" s="69">
        <f t="shared" ref="J7:J8" si="2">K7+L7+M7</f>
        <v>40897189</v>
      </c>
      <c r="K7" s="68">
        <f>39771024-1</f>
        <v>39771023</v>
      </c>
      <c r="L7" s="68">
        <v>18502</v>
      </c>
      <c r="M7" s="68">
        <v>1107664</v>
      </c>
      <c r="N7" s="68">
        <v>3775018</v>
      </c>
      <c r="O7" s="68">
        <f t="shared" ref="O7:O90" si="3">D7+I7</f>
        <v>89344414</v>
      </c>
      <c r="P7" s="68"/>
      <c r="Q7" s="18" t="b">
        <f t="shared" ref="Q7:Q9" si="4">I7=J7+N7</f>
        <v>1</v>
      </c>
      <c r="R7" t="b">
        <f t="shared" ref="R7:R9" si="5">G7+I7=O7</f>
        <v>1</v>
      </c>
      <c r="S7" t="b">
        <f t="shared" ref="S7:S70" si="6">J7=K7+L7+M7</f>
        <v>1</v>
      </c>
      <c r="U7" s="19"/>
      <c r="V7" s="19"/>
      <c r="W7" s="19"/>
      <c r="X7" s="19"/>
      <c r="Y7" s="19"/>
    </row>
    <row r="8" spans="1:25" ht="16.899999999999999" customHeight="1" thickBot="1" x14ac:dyDescent="0.3">
      <c r="A8" s="46"/>
      <c r="B8" s="49"/>
      <c r="C8" s="66" t="s">
        <v>31</v>
      </c>
      <c r="D8" s="67">
        <f t="shared" si="1"/>
        <v>85669416</v>
      </c>
      <c r="E8" s="68"/>
      <c r="F8" s="68"/>
      <c r="G8" s="68">
        <v>85669416</v>
      </c>
      <c r="H8" s="68"/>
      <c r="I8" s="68">
        <f t="shared" si="0"/>
        <v>36715464</v>
      </c>
      <c r="J8" s="69">
        <f t="shared" si="2"/>
        <v>33612830</v>
      </c>
      <c r="K8" s="68">
        <v>32687250</v>
      </c>
      <c r="L8" s="68">
        <v>15206</v>
      </c>
      <c r="M8" s="68">
        <v>910374</v>
      </c>
      <c r="N8" s="68">
        <v>3102634</v>
      </c>
      <c r="O8" s="68">
        <f t="shared" si="3"/>
        <v>122384880</v>
      </c>
      <c r="P8" s="68"/>
      <c r="Q8" s="18" t="b">
        <f t="shared" si="4"/>
        <v>1</v>
      </c>
      <c r="R8" t="b">
        <f t="shared" si="5"/>
        <v>1</v>
      </c>
      <c r="S8" t="b">
        <f t="shared" si="6"/>
        <v>1</v>
      </c>
      <c r="U8" s="19"/>
      <c r="V8" s="19"/>
      <c r="W8" s="19"/>
      <c r="X8" s="19"/>
      <c r="Y8" s="19"/>
    </row>
    <row r="9" spans="1:25" ht="16.899999999999999" customHeight="1" thickBot="1" x14ac:dyDescent="0.3">
      <c r="A9" s="47"/>
      <c r="B9" s="50"/>
      <c r="C9" s="70" t="s">
        <v>32</v>
      </c>
      <c r="D9" s="71">
        <f>D6+D7+D8</f>
        <v>1650402389</v>
      </c>
      <c r="E9" s="71">
        <f t="shared" ref="E9:N9" si="7">E6+E7+E8</f>
        <v>0</v>
      </c>
      <c r="F9" s="71">
        <f t="shared" si="7"/>
        <v>0</v>
      </c>
      <c r="G9" s="71">
        <f t="shared" si="7"/>
        <v>1650402389</v>
      </c>
      <c r="H9" s="71">
        <f t="shared" si="7"/>
        <v>0</v>
      </c>
      <c r="I9" s="71">
        <f t="shared" si="7"/>
        <v>349633689</v>
      </c>
      <c r="J9" s="71">
        <f t="shared" si="7"/>
        <v>320087955</v>
      </c>
      <c r="K9" s="71">
        <f t="shared" si="7"/>
        <v>311273851</v>
      </c>
      <c r="L9" s="71">
        <f>L6+L7+L8</f>
        <v>144810</v>
      </c>
      <c r="M9" s="71">
        <f t="shared" si="7"/>
        <v>8669294</v>
      </c>
      <c r="N9" s="71">
        <f t="shared" si="7"/>
        <v>29545734</v>
      </c>
      <c r="O9" s="71">
        <f>O6+O7+O8</f>
        <v>2000036078</v>
      </c>
      <c r="P9" s="72"/>
      <c r="Q9" s="18" t="b">
        <f t="shared" si="4"/>
        <v>1</v>
      </c>
      <c r="R9" t="b">
        <f t="shared" si="5"/>
        <v>1</v>
      </c>
      <c r="S9" t="b">
        <f t="shared" si="6"/>
        <v>1</v>
      </c>
      <c r="U9" s="19"/>
      <c r="V9" s="19"/>
      <c r="W9" s="19"/>
      <c r="X9" s="19"/>
      <c r="Y9" s="19"/>
    </row>
    <row r="10" spans="1:25" ht="16.899999999999999" customHeight="1" thickBot="1" x14ac:dyDescent="0.3">
      <c r="A10" s="13" t="s">
        <v>45</v>
      </c>
      <c r="B10" s="17" t="s">
        <v>15</v>
      </c>
      <c r="C10" s="28" t="s">
        <v>32</v>
      </c>
      <c r="D10" s="29">
        <f>G10</f>
        <v>7112756</v>
      </c>
      <c r="E10" s="21"/>
      <c r="F10" s="21"/>
      <c r="G10" s="20">
        <f>9099564-1986808</f>
        <v>7112756</v>
      </c>
      <c r="H10" s="21"/>
      <c r="I10" s="20">
        <f>J10+N10</f>
        <v>1506819</v>
      </c>
      <c r="J10" s="21">
        <f>K10+L10+M10</f>
        <v>1338738</v>
      </c>
      <c r="K10" s="21">
        <f>1596901-348669</f>
        <v>1248232</v>
      </c>
      <c r="L10" s="21">
        <f>39699-8668</f>
        <v>31031</v>
      </c>
      <c r="M10" s="21">
        <f>76088-16613</f>
        <v>59475</v>
      </c>
      <c r="N10" s="22">
        <f>215031-46950</f>
        <v>168081</v>
      </c>
      <c r="O10" s="20">
        <f>D10+I10</f>
        <v>8619575</v>
      </c>
      <c r="P10" s="21"/>
      <c r="Q10" s="18" t="b">
        <f>I10=J10+N10</f>
        <v>1</v>
      </c>
      <c r="R10" t="b">
        <f>G10+I10=O10</f>
        <v>1</v>
      </c>
      <c r="S10" t="b">
        <f t="shared" si="6"/>
        <v>1</v>
      </c>
      <c r="U10" s="19"/>
      <c r="V10" s="19"/>
      <c r="W10" s="19"/>
      <c r="X10" s="19"/>
      <c r="Y10" s="19"/>
    </row>
    <row r="11" spans="1:25" ht="16.899999999999999" customHeight="1" thickBot="1" x14ac:dyDescent="0.3">
      <c r="A11" s="13" t="s">
        <v>45</v>
      </c>
      <c r="B11" s="17" t="s">
        <v>39</v>
      </c>
      <c r="C11" s="28" t="s">
        <v>32</v>
      </c>
      <c r="D11" s="29">
        <f t="shared" si="1"/>
        <v>1185460</v>
      </c>
      <c r="E11" s="21"/>
      <c r="F11" s="21"/>
      <c r="G11" s="20">
        <f>1516594-331134</f>
        <v>1185460</v>
      </c>
      <c r="H11" s="21"/>
      <c r="I11" s="20">
        <f t="shared" ref="I11:I35" si="8">J11+N11</f>
        <v>251137</v>
      </c>
      <c r="J11" s="21">
        <f t="shared" ref="J11:J35" si="9">K11+L11+M11</f>
        <v>223123</v>
      </c>
      <c r="K11" s="21">
        <f>266150-58111</f>
        <v>208039</v>
      </c>
      <c r="L11" s="21">
        <f>6616-1445</f>
        <v>5171</v>
      </c>
      <c r="M11" s="21">
        <f>12682-2769</f>
        <v>9913</v>
      </c>
      <c r="N11" s="22">
        <f>35839-7825</f>
        <v>28014</v>
      </c>
      <c r="O11" s="20">
        <f t="shared" si="3"/>
        <v>1436597</v>
      </c>
      <c r="P11" s="21"/>
      <c r="Q11" s="18" t="b">
        <f t="shared" ref="Q11:Q75" si="10">I11=J11+N11</f>
        <v>1</v>
      </c>
      <c r="R11" t="b">
        <f t="shared" ref="R11:R75" si="11">G11+I11=O11</f>
        <v>1</v>
      </c>
      <c r="S11" t="b">
        <f t="shared" si="6"/>
        <v>1</v>
      </c>
      <c r="U11" s="19"/>
      <c r="V11" s="19"/>
      <c r="W11" s="19"/>
      <c r="X11" s="19"/>
      <c r="Y11" s="19"/>
    </row>
    <row r="12" spans="1:25" ht="16.899999999999999" customHeight="1" thickBot="1" x14ac:dyDescent="0.3">
      <c r="A12" s="13" t="s">
        <v>45</v>
      </c>
      <c r="B12" s="17" t="s">
        <v>16</v>
      </c>
      <c r="C12" s="28" t="s">
        <v>32</v>
      </c>
      <c r="D12" s="29">
        <f t="shared" si="1"/>
        <v>2370922</v>
      </c>
      <c r="E12" s="21"/>
      <c r="F12" s="21"/>
      <c r="G12" s="20">
        <f>3033190-662268</f>
        <v>2370922</v>
      </c>
      <c r="H12" s="21"/>
      <c r="I12" s="20">
        <f t="shared" si="8"/>
        <v>502274</v>
      </c>
      <c r="J12" s="21">
        <f t="shared" si="9"/>
        <v>446247</v>
      </c>
      <c r="K12" s="21">
        <f>532301-116223</f>
        <v>416078</v>
      </c>
      <c r="L12" s="21">
        <f>13233-2889</f>
        <v>10344</v>
      </c>
      <c r="M12" s="21">
        <f>25363-5538</f>
        <v>19825</v>
      </c>
      <c r="N12" s="22">
        <f>71677-15650</f>
        <v>56027</v>
      </c>
      <c r="O12" s="20">
        <f t="shared" si="3"/>
        <v>2873196</v>
      </c>
      <c r="P12" s="21"/>
      <c r="Q12" s="18" t="b">
        <f t="shared" si="10"/>
        <v>1</v>
      </c>
      <c r="R12" t="b">
        <f t="shared" si="11"/>
        <v>1</v>
      </c>
      <c r="S12" t="b">
        <f t="shared" si="6"/>
        <v>1</v>
      </c>
      <c r="U12" s="19"/>
      <c r="V12" s="19"/>
      <c r="W12" s="19"/>
      <c r="X12" s="19"/>
      <c r="Y12" s="19"/>
    </row>
    <row r="13" spans="1:25" ht="16.899999999999999" customHeight="1" thickBot="1" x14ac:dyDescent="0.3">
      <c r="A13" s="13" t="s">
        <v>45</v>
      </c>
      <c r="B13" s="17" t="s">
        <v>17</v>
      </c>
      <c r="C13" s="28" t="s">
        <v>32</v>
      </c>
      <c r="D13" s="29">
        <f t="shared" si="1"/>
        <v>3556383</v>
      </c>
      <c r="E13" s="21"/>
      <c r="F13" s="21"/>
      <c r="G13" s="20">
        <f>4549785-993402</f>
        <v>3556383</v>
      </c>
      <c r="H13" s="21"/>
      <c r="I13" s="20">
        <f t="shared" si="8"/>
        <v>753411</v>
      </c>
      <c r="J13" s="21">
        <f t="shared" si="9"/>
        <v>669370</v>
      </c>
      <c r="K13" s="21">
        <f>798451-174334</f>
        <v>624117</v>
      </c>
      <c r="L13" s="21">
        <f>19849-4334</f>
        <v>15515</v>
      </c>
      <c r="M13" s="21">
        <f>38045-8307</f>
        <v>29738</v>
      </c>
      <c r="N13" s="22">
        <f>107516-23475</f>
        <v>84041</v>
      </c>
      <c r="O13" s="20">
        <f t="shared" si="3"/>
        <v>4309794</v>
      </c>
      <c r="P13" s="21"/>
      <c r="Q13" s="18" t="b">
        <f t="shared" si="10"/>
        <v>1</v>
      </c>
      <c r="R13" t="b">
        <f t="shared" si="11"/>
        <v>1</v>
      </c>
      <c r="S13" t="b">
        <f t="shared" si="6"/>
        <v>1</v>
      </c>
      <c r="U13" s="19"/>
      <c r="V13" s="19"/>
      <c r="W13" s="19"/>
      <c r="X13" s="19"/>
      <c r="Y13" s="19"/>
    </row>
    <row r="14" spans="1:25" ht="16.899999999999999" customHeight="1" thickBot="1" x14ac:dyDescent="0.3">
      <c r="A14" s="13" t="s">
        <v>45</v>
      </c>
      <c r="B14" s="17" t="s">
        <v>18</v>
      </c>
      <c r="C14" s="28" t="s">
        <v>32</v>
      </c>
      <c r="D14" s="29">
        <f t="shared" si="1"/>
        <v>1185460</v>
      </c>
      <c r="E14" s="21"/>
      <c r="F14" s="21"/>
      <c r="G14" s="20">
        <f>1516594-331134</f>
        <v>1185460</v>
      </c>
      <c r="H14" s="21"/>
      <c r="I14" s="20">
        <f t="shared" si="8"/>
        <v>251137</v>
      </c>
      <c r="J14" s="21">
        <f t="shared" si="9"/>
        <v>223123</v>
      </c>
      <c r="K14" s="21">
        <f>266150-58111</f>
        <v>208039</v>
      </c>
      <c r="L14" s="21">
        <f>6616-1445</f>
        <v>5171</v>
      </c>
      <c r="M14" s="21">
        <f>12682-2769</f>
        <v>9913</v>
      </c>
      <c r="N14" s="22">
        <f>35839-7825</f>
        <v>28014</v>
      </c>
      <c r="O14" s="20">
        <f t="shared" si="3"/>
        <v>1436597</v>
      </c>
      <c r="P14" s="21"/>
      <c r="Q14" s="18" t="b">
        <f t="shared" si="10"/>
        <v>1</v>
      </c>
      <c r="R14" t="b">
        <f t="shared" si="11"/>
        <v>1</v>
      </c>
      <c r="S14" t="b">
        <f t="shared" si="6"/>
        <v>1</v>
      </c>
      <c r="U14" s="19"/>
      <c r="V14" s="19"/>
      <c r="W14" s="19"/>
      <c r="X14" s="19"/>
      <c r="Y14" s="19"/>
    </row>
    <row r="15" spans="1:25" ht="16.899999999999999" customHeight="1" thickBot="1" x14ac:dyDescent="0.3">
      <c r="A15" s="13" t="s">
        <v>45</v>
      </c>
      <c r="B15" s="17" t="s">
        <v>19</v>
      </c>
      <c r="C15" s="28" t="s">
        <v>32</v>
      </c>
      <c r="D15" s="29">
        <f t="shared" si="1"/>
        <v>3556383</v>
      </c>
      <c r="E15" s="21"/>
      <c r="F15" s="21"/>
      <c r="G15" s="20">
        <f>4549785-993402</f>
        <v>3556383</v>
      </c>
      <c r="H15" s="21"/>
      <c r="I15" s="20">
        <f t="shared" si="8"/>
        <v>753411</v>
      </c>
      <c r="J15" s="21">
        <f t="shared" si="9"/>
        <v>669370</v>
      </c>
      <c r="K15" s="21">
        <f>798451-174334</f>
        <v>624117</v>
      </c>
      <c r="L15" s="21">
        <f>19849-4334</f>
        <v>15515</v>
      </c>
      <c r="M15" s="21">
        <f>38045-8307</f>
        <v>29738</v>
      </c>
      <c r="N15" s="22">
        <f>107516-23475</f>
        <v>84041</v>
      </c>
      <c r="O15" s="20">
        <f t="shared" si="3"/>
        <v>4309794</v>
      </c>
      <c r="P15" s="21"/>
      <c r="Q15" s="18" t="b">
        <f t="shared" si="10"/>
        <v>1</v>
      </c>
      <c r="R15" t="b">
        <f t="shared" si="11"/>
        <v>1</v>
      </c>
      <c r="S15" t="b">
        <f t="shared" si="6"/>
        <v>1</v>
      </c>
      <c r="U15" s="19"/>
      <c r="V15" s="19"/>
      <c r="W15" s="19"/>
      <c r="X15" s="19"/>
      <c r="Y15" s="19"/>
    </row>
    <row r="16" spans="1:25" ht="16.899999999999999" customHeight="1" thickBot="1" x14ac:dyDescent="0.3">
      <c r="A16" s="13" t="s">
        <v>45</v>
      </c>
      <c r="B16" s="17" t="s">
        <v>20</v>
      </c>
      <c r="C16" s="28" t="s">
        <v>32</v>
      </c>
      <c r="D16" s="29">
        <f t="shared" si="1"/>
        <v>3556383</v>
      </c>
      <c r="E16" s="21"/>
      <c r="F16" s="21"/>
      <c r="G16" s="20">
        <f>4549785-993402</f>
        <v>3556383</v>
      </c>
      <c r="H16" s="21"/>
      <c r="I16" s="20">
        <f t="shared" si="8"/>
        <v>753411</v>
      </c>
      <c r="J16" s="21">
        <f t="shared" si="9"/>
        <v>669370</v>
      </c>
      <c r="K16" s="21">
        <f>798451-174334</f>
        <v>624117</v>
      </c>
      <c r="L16" s="21">
        <f>19849-4334</f>
        <v>15515</v>
      </c>
      <c r="M16" s="21">
        <f>38045-8307</f>
        <v>29738</v>
      </c>
      <c r="N16" s="22">
        <f>107516-23475</f>
        <v>84041</v>
      </c>
      <c r="O16" s="20">
        <f t="shared" si="3"/>
        <v>4309794</v>
      </c>
      <c r="P16" s="21"/>
      <c r="Q16" s="18" t="b">
        <f t="shared" si="10"/>
        <v>1</v>
      </c>
      <c r="R16" t="b">
        <f t="shared" si="11"/>
        <v>1</v>
      </c>
      <c r="S16" t="b">
        <f t="shared" si="6"/>
        <v>1</v>
      </c>
      <c r="U16" s="19"/>
      <c r="V16" s="19"/>
      <c r="W16" s="19"/>
      <c r="X16" s="19"/>
      <c r="Y16" s="19"/>
    </row>
    <row r="17" spans="1:25" ht="16.899999999999999" customHeight="1" thickBot="1" x14ac:dyDescent="0.3">
      <c r="A17" s="13" t="s">
        <v>45</v>
      </c>
      <c r="B17" s="17" t="s">
        <v>21</v>
      </c>
      <c r="C17" s="28" t="s">
        <v>32</v>
      </c>
      <c r="D17" s="29">
        <f t="shared" si="1"/>
        <v>1185460</v>
      </c>
      <c r="E17" s="21"/>
      <c r="F17" s="21"/>
      <c r="G17" s="20">
        <f>1516594-331134</f>
        <v>1185460</v>
      </c>
      <c r="H17" s="21"/>
      <c r="I17" s="20">
        <f t="shared" si="8"/>
        <v>251137</v>
      </c>
      <c r="J17" s="21">
        <f t="shared" si="9"/>
        <v>223123</v>
      </c>
      <c r="K17" s="21">
        <f>266150-58111</f>
        <v>208039</v>
      </c>
      <c r="L17" s="21">
        <f>6616-1445</f>
        <v>5171</v>
      </c>
      <c r="M17" s="21">
        <f>12682-2769</f>
        <v>9913</v>
      </c>
      <c r="N17" s="22">
        <f>35839-7825</f>
        <v>28014</v>
      </c>
      <c r="O17" s="20">
        <f t="shared" si="3"/>
        <v>1436597</v>
      </c>
      <c r="P17" s="21"/>
      <c r="Q17" s="18" t="b">
        <f t="shared" si="10"/>
        <v>1</v>
      </c>
      <c r="R17" t="b">
        <f t="shared" si="11"/>
        <v>1</v>
      </c>
      <c r="S17" t="b">
        <f t="shared" si="6"/>
        <v>1</v>
      </c>
      <c r="U17" s="19"/>
      <c r="V17" s="19"/>
      <c r="W17" s="19"/>
      <c r="X17" s="19"/>
      <c r="Y17" s="19"/>
    </row>
    <row r="18" spans="1:25" ht="16.899999999999999" customHeight="1" thickBot="1" x14ac:dyDescent="0.3">
      <c r="A18" s="13" t="s">
        <v>45</v>
      </c>
      <c r="B18" s="17" t="s">
        <v>22</v>
      </c>
      <c r="C18" s="28" t="s">
        <v>32</v>
      </c>
      <c r="D18" s="29">
        <f t="shared" si="1"/>
        <v>2370920</v>
      </c>
      <c r="E18" s="21"/>
      <c r="F18" s="21"/>
      <c r="G18" s="20">
        <f>3033188-662268</f>
        <v>2370920</v>
      </c>
      <c r="H18" s="21"/>
      <c r="I18" s="20">
        <f t="shared" si="8"/>
        <v>502273</v>
      </c>
      <c r="J18" s="21">
        <f t="shared" si="9"/>
        <v>446246</v>
      </c>
      <c r="K18" s="21">
        <f>532300-116223</f>
        <v>416077</v>
      </c>
      <c r="L18" s="21">
        <f>13233-2889</f>
        <v>10344</v>
      </c>
      <c r="M18" s="21">
        <f>25363-5538</f>
        <v>19825</v>
      </c>
      <c r="N18" s="22">
        <f>71677-15650</f>
        <v>56027</v>
      </c>
      <c r="O18" s="20">
        <f t="shared" si="3"/>
        <v>2873193</v>
      </c>
      <c r="P18" s="21"/>
      <c r="Q18" s="18" t="b">
        <f t="shared" si="10"/>
        <v>1</v>
      </c>
      <c r="R18" t="b">
        <f t="shared" si="11"/>
        <v>1</v>
      </c>
      <c r="S18" t="b">
        <f t="shared" si="6"/>
        <v>1</v>
      </c>
      <c r="U18" s="19"/>
      <c r="V18" s="19"/>
      <c r="W18" s="19"/>
      <c r="X18" s="19"/>
      <c r="Y18" s="19"/>
    </row>
    <row r="19" spans="1:25" ht="16.899999999999999" customHeight="1" thickBot="1" x14ac:dyDescent="0.3">
      <c r="A19" s="13" t="s">
        <v>45</v>
      </c>
      <c r="B19" s="17" t="s">
        <v>24</v>
      </c>
      <c r="C19" s="28" t="s">
        <v>32</v>
      </c>
      <c r="D19" s="29">
        <f t="shared" si="1"/>
        <v>5927300</v>
      </c>
      <c r="E19" s="21"/>
      <c r="F19" s="21"/>
      <c r="G19" s="20">
        <f>7582970-1655670</f>
        <v>5927300</v>
      </c>
      <c r="H19" s="21"/>
      <c r="I19" s="20">
        <f t="shared" si="8"/>
        <v>1255684</v>
      </c>
      <c r="J19" s="21">
        <f t="shared" si="9"/>
        <v>1115617</v>
      </c>
      <c r="K19" s="21">
        <f>1330751-290560</f>
        <v>1040191</v>
      </c>
      <c r="L19" s="21">
        <f>33083-7222</f>
        <v>25861</v>
      </c>
      <c r="M19" s="21">
        <f>63408-13843</f>
        <v>49565</v>
      </c>
      <c r="N19" s="22">
        <f>179192-39125</f>
        <v>140067</v>
      </c>
      <c r="O19" s="20">
        <f t="shared" si="3"/>
        <v>7182984</v>
      </c>
      <c r="P19" s="21"/>
      <c r="Q19" s="18" t="b">
        <f t="shared" si="10"/>
        <v>1</v>
      </c>
      <c r="R19" t="b">
        <f t="shared" si="11"/>
        <v>1</v>
      </c>
      <c r="S19" t="b">
        <f t="shared" si="6"/>
        <v>1</v>
      </c>
      <c r="U19" s="19"/>
      <c r="V19" s="19"/>
      <c r="W19" s="19"/>
      <c r="X19" s="19"/>
      <c r="Y19" s="19"/>
    </row>
    <row r="20" spans="1:25" ht="16.899999999999999" customHeight="1" thickBot="1" x14ac:dyDescent="0.3">
      <c r="A20" s="13" t="s">
        <v>45</v>
      </c>
      <c r="B20" s="17" t="s">
        <v>25</v>
      </c>
      <c r="C20" s="28" t="s">
        <v>32</v>
      </c>
      <c r="D20" s="29">
        <f t="shared" si="1"/>
        <v>1185460</v>
      </c>
      <c r="E20" s="21"/>
      <c r="F20" s="21"/>
      <c r="G20" s="20">
        <f>1516594-331134</f>
        <v>1185460</v>
      </c>
      <c r="H20" s="21"/>
      <c r="I20" s="20">
        <f t="shared" si="8"/>
        <v>251137</v>
      </c>
      <c r="J20" s="21">
        <f t="shared" si="9"/>
        <v>223124</v>
      </c>
      <c r="K20" s="21">
        <f>266150-58111</f>
        <v>208039</v>
      </c>
      <c r="L20" s="21">
        <f>6617-1445</f>
        <v>5172</v>
      </c>
      <c r="M20" s="21">
        <f>12682-2769</f>
        <v>9913</v>
      </c>
      <c r="N20" s="22">
        <f>35838-7825</f>
        <v>28013</v>
      </c>
      <c r="O20" s="20">
        <f t="shared" si="3"/>
        <v>1436597</v>
      </c>
      <c r="P20" s="21"/>
      <c r="Q20" s="18" t="b">
        <f t="shared" si="10"/>
        <v>1</v>
      </c>
      <c r="R20" t="b">
        <f t="shared" si="11"/>
        <v>1</v>
      </c>
      <c r="S20" t="b">
        <f t="shared" si="6"/>
        <v>1</v>
      </c>
      <c r="U20" s="19"/>
      <c r="V20" s="19"/>
      <c r="W20" s="19"/>
      <c r="X20" s="19"/>
      <c r="Y20" s="19"/>
    </row>
    <row r="21" spans="1:25" ht="16.899999999999999" customHeight="1" thickBot="1" x14ac:dyDescent="0.3">
      <c r="A21" s="11" t="s">
        <v>44</v>
      </c>
      <c r="B21" s="17" t="s">
        <v>39</v>
      </c>
      <c r="C21" s="28" t="s">
        <v>32</v>
      </c>
      <c r="D21" s="29">
        <f t="shared" ref="D21:D32" si="12">G21</f>
        <v>11775131</v>
      </c>
      <c r="E21" s="21"/>
      <c r="F21" s="21"/>
      <c r="G21" s="21">
        <v>11775131</v>
      </c>
      <c r="H21" s="21"/>
      <c r="I21" s="20">
        <f t="shared" si="8"/>
        <v>2494533</v>
      </c>
      <c r="J21" s="22">
        <f>K21+L21+M21</f>
        <v>2325994</v>
      </c>
      <c r="K21" s="22">
        <f>2292286+16854+16854</f>
        <v>2325994</v>
      </c>
      <c r="L21" s="21">
        <v>0</v>
      </c>
      <c r="M21" s="22">
        <f>16854-16854</f>
        <v>0</v>
      </c>
      <c r="N21" s="22">
        <f>185393-16854</f>
        <v>168539</v>
      </c>
      <c r="O21" s="20">
        <f t="shared" ref="O21:O32" si="13">D21+I21</f>
        <v>14269664</v>
      </c>
      <c r="P21" s="21"/>
      <c r="Q21" s="18" t="b">
        <f t="shared" si="10"/>
        <v>1</v>
      </c>
      <c r="R21" t="b">
        <f t="shared" si="11"/>
        <v>1</v>
      </c>
      <c r="S21" t="b">
        <f t="shared" si="6"/>
        <v>1</v>
      </c>
    </row>
    <row r="22" spans="1:25" ht="16.899999999999999" customHeight="1" thickBot="1" x14ac:dyDescent="0.3">
      <c r="A22" s="11" t="s">
        <v>46</v>
      </c>
      <c r="B22" s="17" t="s">
        <v>17</v>
      </c>
      <c r="C22" s="28" t="s">
        <v>32</v>
      </c>
      <c r="D22" s="29">
        <f t="shared" si="12"/>
        <v>226655003</v>
      </c>
      <c r="E22" s="21"/>
      <c r="F22" s="21"/>
      <c r="G22" s="21">
        <v>226655003</v>
      </c>
      <c r="H22" s="21"/>
      <c r="I22" s="20">
        <f t="shared" si="8"/>
        <v>48016305</v>
      </c>
      <c r="J22" s="21">
        <f t="shared" si="9"/>
        <v>29051760</v>
      </c>
      <c r="K22" s="21">
        <v>29051760</v>
      </c>
      <c r="L22" s="21">
        <v>0</v>
      </c>
      <c r="M22" s="21">
        <v>0</v>
      </c>
      <c r="N22" s="22">
        <v>18964545</v>
      </c>
      <c r="O22" s="20">
        <f t="shared" si="13"/>
        <v>274671308</v>
      </c>
      <c r="P22" s="21"/>
      <c r="Q22" s="18" t="b">
        <f t="shared" si="10"/>
        <v>1</v>
      </c>
      <c r="R22" t="b">
        <f t="shared" si="11"/>
        <v>1</v>
      </c>
      <c r="S22" t="b">
        <f t="shared" si="6"/>
        <v>1</v>
      </c>
    </row>
    <row r="23" spans="1:25" ht="16.899999999999999" customHeight="1" thickBot="1" x14ac:dyDescent="0.3">
      <c r="A23" s="11" t="s">
        <v>47</v>
      </c>
      <c r="B23" s="17" t="s">
        <v>18</v>
      </c>
      <c r="C23" s="28" t="s">
        <v>32</v>
      </c>
      <c r="D23" s="29">
        <f t="shared" si="12"/>
        <v>172972959</v>
      </c>
      <c r="E23" s="21"/>
      <c r="F23" s="21"/>
      <c r="G23" s="21">
        <v>172972959</v>
      </c>
      <c r="H23" s="21"/>
      <c r="I23" s="20">
        <f t="shared" si="8"/>
        <v>36643895</v>
      </c>
      <c r="J23" s="21">
        <f t="shared" si="9"/>
        <v>36643895</v>
      </c>
      <c r="K23" s="21">
        <v>36643895</v>
      </c>
      <c r="L23" s="21">
        <v>0</v>
      </c>
      <c r="M23" s="21">
        <v>0</v>
      </c>
      <c r="N23" s="22">
        <v>0</v>
      </c>
      <c r="O23" s="20">
        <f t="shared" si="13"/>
        <v>209616854</v>
      </c>
      <c r="P23" s="21"/>
      <c r="Q23" s="18" t="b">
        <f t="shared" si="10"/>
        <v>1</v>
      </c>
      <c r="R23" t="b">
        <f t="shared" si="11"/>
        <v>1</v>
      </c>
      <c r="S23" t="b">
        <f t="shared" si="6"/>
        <v>1</v>
      </c>
    </row>
    <row r="24" spans="1:25" ht="16.899999999999999" customHeight="1" thickBot="1" x14ac:dyDescent="0.3">
      <c r="A24" s="11" t="s">
        <v>48</v>
      </c>
      <c r="B24" s="17" t="s">
        <v>18</v>
      </c>
      <c r="C24" s="28" t="s">
        <v>32</v>
      </c>
      <c r="D24" s="29">
        <f t="shared" si="12"/>
        <v>447825828</v>
      </c>
      <c r="E24" s="21"/>
      <c r="F24" s="21"/>
      <c r="G24" s="21">
        <v>447825828</v>
      </c>
      <c r="H24" s="21"/>
      <c r="I24" s="20">
        <f t="shared" si="8"/>
        <v>94870799</v>
      </c>
      <c r="J24" s="21">
        <f t="shared" si="9"/>
        <v>90959167</v>
      </c>
      <c r="K24" s="21">
        <v>82567429</v>
      </c>
      <c r="L24" s="21">
        <v>0</v>
      </c>
      <c r="M24" s="21">
        <v>8391738</v>
      </c>
      <c r="N24" s="22">
        <v>3911632</v>
      </c>
      <c r="O24" s="20">
        <f t="shared" si="13"/>
        <v>542696627</v>
      </c>
      <c r="P24" s="21"/>
      <c r="Q24" s="18" t="b">
        <f t="shared" si="10"/>
        <v>1</v>
      </c>
      <c r="R24" t="b">
        <f t="shared" si="11"/>
        <v>1</v>
      </c>
      <c r="S24" t="b">
        <f t="shared" si="6"/>
        <v>1</v>
      </c>
    </row>
    <row r="25" spans="1:25" ht="16.899999999999999" customHeight="1" thickBot="1" x14ac:dyDescent="0.3">
      <c r="A25" s="11" t="s">
        <v>49</v>
      </c>
      <c r="B25" s="17" t="s">
        <v>19</v>
      </c>
      <c r="C25" s="28" t="s">
        <v>32</v>
      </c>
      <c r="D25" s="29">
        <f t="shared" si="12"/>
        <v>78216460</v>
      </c>
      <c r="E25" s="21"/>
      <c r="F25" s="21"/>
      <c r="G25" s="21">
        <v>78216460</v>
      </c>
      <c r="H25" s="21"/>
      <c r="I25" s="20">
        <f t="shared" si="8"/>
        <v>16569966</v>
      </c>
      <c r="J25" s="21">
        <f t="shared" si="9"/>
        <v>16569966</v>
      </c>
      <c r="K25" s="21">
        <v>16569966</v>
      </c>
      <c r="L25" s="21">
        <v>0</v>
      </c>
      <c r="M25" s="21">
        <v>0</v>
      </c>
      <c r="N25" s="22">
        <v>0</v>
      </c>
      <c r="O25" s="20">
        <f t="shared" si="13"/>
        <v>94786426</v>
      </c>
      <c r="P25" s="21"/>
      <c r="Q25" s="18" t="b">
        <f t="shared" si="10"/>
        <v>1</v>
      </c>
      <c r="R25" t="b">
        <f t="shared" si="11"/>
        <v>1</v>
      </c>
      <c r="S25" t="b">
        <f t="shared" si="6"/>
        <v>1</v>
      </c>
    </row>
    <row r="26" spans="1:25" ht="16.899999999999999" customHeight="1" thickBot="1" x14ac:dyDescent="0.3">
      <c r="A26" s="11" t="s">
        <v>50</v>
      </c>
      <c r="B26" s="17" t="s">
        <v>19</v>
      </c>
      <c r="C26" s="28" t="s">
        <v>32</v>
      </c>
      <c r="D26" s="29">
        <f t="shared" si="12"/>
        <v>129804588</v>
      </c>
      <c r="E26" s="21"/>
      <c r="F26" s="21"/>
      <c r="G26" s="21">
        <v>129804588</v>
      </c>
      <c r="H26" s="21"/>
      <c r="I26" s="20">
        <f t="shared" si="8"/>
        <v>27498783</v>
      </c>
      <c r="J26" s="21">
        <f t="shared" si="9"/>
        <v>27498783</v>
      </c>
      <c r="K26" s="21">
        <v>27498783</v>
      </c>
      <c r="L26" s="21">
        <v>0</v>
      </c>
      <c r="M26" s="21">
        <v>0</v>
      </c>
      <c r="N26" s="22">
        <v>0</v>
      </c>
      <c r="O26" s="20">
        <f t="shared" si="13"/>
        <v>157303371</v>
      </c>
      <c r="P26" s="21"/>
      <c r="Q26" s="18" t="b">
        <f t="shared" si="10"/>
        <v>1</v>
      </c>
      <c r="R26" t="b">
        <f t="shared" si="11"/>
        <v>1</v>
      </c>
      <c r="S26" t="b">
        <f t="shared" si="6"/>
        <v>1</v>
      </c>
    </row>
    <row r="27" spans="1:25" ht="16.899999999999999" customHeight="1" thickBot="1" x14ac:dyDescent="0.3">
      <c r="A27" s="11" t="s">
        <v>51</v>
      </c>
      <c r="B27" s="17" t="s">
        <v>20</v>
      </c>
      <c r="C27" s="28" t="s">
        <v>32</v>
      </c>
      <c r="D27" s="29">
        <f t="shared" si="12"/>
        <v>35047239</v>
      </c>
      <c r="E27" s="21"/>
      <c r="F27" s="21"/>
      <c r="G27" s="21">
        <v>35047239</v>
      </c>
      <c r="H27" s="21"/>
      <c r="I27" s="20">
        <f t="shared" si="8"/>
        <v>7424672</v>
      </c>
      <c r="J27" s="21">
        <f t="shared" si="9"/>
        <v>7424672</v>
      </c>
      <c r="K27" s="21">
        <v>7424672</v>
      </c>
      <c r="L27" s="21">
        <v>0</v>
      </c>
      <c r="M27" s="21">
        <v>0</v>
      </c>
      <c r="N27" s="22">
        <v>0</v>
      </c>
      <c r="O27" s="20">
        <f t="shared" si="13"/>
        <v>42471911</v>
      </c>
      <c r="P27" s="21"/>
      <c r="Q27" s="18" t="b">
        <f t="shared" si="10"/>
        <v>1</v>
      </c>
      <c r="R27" t="b">
        <f t="shared" si="11"/>
        <v>1</v>
      </c>
      <c r="S27" t="b">
        <f t="shared" si="6"/>
        <v>1</v>
      </c>
    </row>
    <row r="28" spans="1:25" ht="16.899999999999999" customHeight="1" thickBot="1" x14ac:dyDescent="0.3">
      <c r="A28" s="11" t="s">
        <v>52</v>
      </c>
      <c r="B28" s="17" t="s">
        <v>20</v>
      </c>
      <c r="C28" s="28" t="s">
        <v>32</v>
      </c>
      <c r="D28" s="29">
        <f t="shared" si="12"/>
        <v>193923511</v>
      </c>
      <c r="E28" s="21"/>
      <c r="F28" s="21"/>
      <c r="G28" s="21">
        <v>193923511</v>
      </c>
      <c r="H28" s="21"/>
      <c r="I28" s="20">
        <f t="shared" si="8"/>
        <v>41082219</v>
      </c>
      <c r="J28" s="21">
        <f t="shared" si="9"/>
        <v>41082219</v>
      </c>
      <c r="K28" s="21">
        <v>41082219</v>
      </c>
      <c r="L28" s="21">
        <v>0</v>
      </c>
      <c r="M28" s="21">
        <v>0</v>
      </c>
      <c r="N28" s="22">
        <v>0</v>
      </c>
      <c r="O28" s="20">
        <f t="shared" si="13"/>
        <v>235005730</v>
      </c>
      <c r="P28" s="21"/>
      <c r="Q28" s="18" t="b">
        <f t="shared" si="10"/>
        <v>1</v>
      </c>
      <c r="R28" t="b">
        <f t="shared" si="11"/>
        <v>1</v>
      </c>
      <c r="S28" t="b">
        <f t="shared" si="6"/>
        <v>1</v>
      </c>
    </row>
    <row r="29" spans="1:25" ht="16.899999999999999" customHeight="1" thickBot="1" x14ac:dyDescent="0.3">
      <c r="A29" s="11" t="s">
        <v>53</v>
      </c>
      <c r="B29" s="17" t="s">
        <v>20</v>
      </c>
      <c r="C29" s="28" t="s">
        <v>32</v>
      </c>
      <c r="D29" s="29">
        <f t="shared" si="12"/>
        <v>28093447</v>
      </c>
      <c r="E29" s="21"/>
      <c r="F29" s="21"/>
      <c r="G29" s="21">
        <v>28093447</v>
      </c>
      <c r="H29" s="21"/>
      <c r="I29" s="20">
        <f t="shared" si="8"/>
        <v>5951528</v>
      </c>
      <c r="J29" s="21">
        <f t="shared" si="9"/>
        <v>5951528</v>
      </c>
      <c r="K29" s="21">
        <v>5951528</v>
      </c>
      <c r="L29" s="21">
        <v>0</v>
      </c>
      <c r="M29" s="21">
        <v>0</v>
      </c>
      <c r="N29" s="22">
        <v>0</v>
      </c>
      <c r="O29" s="20">
        <f t="shared" si="13"/>
        <v>34044975</v>
      </c>
      <c r="P29" s="21"/>
      <c r="Q29" s="18" t="b">
        <f t="shared" si="10"/>
        <v>1</v>
      </c>
      <c r="R29" t="b">
        <f t="shared" si="11"/>
        <v>1</v>
      </c>
      <c r="S29" t="b">
        <f t="shared" si="6"/>
        <v>1</v>
      </c>
    </row>
    <row r="30" spans="1:25" ht="16.899999999999999" customHeight="1" thickBot="1" x14ac:dyDescent="0.3">
      <c r="A30" s="11" t="s">
        <v>54</v>
      </c>
      <c r="B30" s="17" t="s">
        <v>20</v>
      </c>
      <c r="C30" s="28" t="s">
        <v>32</v>
      </c>
      <c r="D30" s="29">
        <f t="shared" si="12"/>
        <v>43750636</v>
      </c>
      <c r="E30" s="21"/>
      <c r="F30" s="21"/>
      <c r="G30" s="21">
        <v>43750636</v>
      </c>
      <c r="H30" s="21"/>
      <c r="I30" s="20">
        <f t="shared" si="8"/>
        <v>9268465</v>
      </c>
      <c r="J30" s="21">
        <f t="shared" si="9"/>
        <v>9268465</v>
      </c>
      <c r="K30" s="21">
        <v>9268465</v>
      </c>
      <c r="L30" s="21">
        <v>0</v>
      </c>
      <c r="M30" s="21">
        <v>0</v>
      </c>
      <c r="N30" s="22">
        <v>0</v>
      </c>
      <c r="O30" s="20">
        <f t="shared" si="13"/>
        <v>53019101</v>
      </c>
      <c r="P30" s="21"/>
      <c r="Q30" s="18" t="b">
        <f t="shared" si="10"/>
        <v>1</v>
      </c>
      <c r="R30" t="b">
        <f t="shared" si="11"/>
        <v>1</v>
      </c>
      <c r="S30" t="b">
        <f t="shared" si="6"/>
        <v>1</v>
      </c>
    </row>
    <row r="31" spans="1:25" ht="16.899999999999999" customHeight="1" thickBot="1" x14ac:dyDescent="0.3">
      <c r="A31" s="11" t="s">
        <v>55</v>
      </c>
      <c r="B31" s="17" t="s">
        <v>20</v>
      </c>
      <c r="C31" s="28" t="s">
        <v>32</v>
      </c>
      <c r="D31" s="29">
        <f t="shared" si="12"/>
        <v>110593509</v>
      </c>
      <c r="E31" s="21"/>
      <c r="F31" s="21"/>
      <c r="G31" s="21">
        <v>110593509</v>
      </c>
      <c r="H31" s="21"/>
      <c r="I31" s="20">
        <f t="shared" si="8"/>
        <v>23428963</v>
      </c>
      <c r="J31" s="21">
        <f t="shared" si="9"/>
        <v>22749412</v>
      </c>
      <c r="K31" s="21">
        <v>22749412</v>
      </c>
      <c r="L31" s="21">
        <v>0</v>
      </c>
      <c r="M31" s="21">
        <v>0</v>
      </c>
      <c r="N31" s="22">
        <v>679551</v>
      </c>
      <c r="O31" s="20">
        <f t="shared" si="13"/>
        <v>134022472</v>
      </c>
      <c r="P31" s="21"/>
      <c r="Q31" s="18" t="b">
        <f t="shared" si="10"/>
        <v>1</v>
      </c>
      <c r="R31" t="b">
        <f t="shared" si="11"/>
        <v>1</v>
      </c>
      <c r="S31" t="b">
        <f t="shared" si="6"/>
        <v>1</v>
      </c>
    </row>
    <row r="32" spans="1:25" ht="16.899999999999999" customHeight="1" thickBot="1" x14ac:dyDescent="0.3">
      <c r="A32" s="11" t="s">
        <v>56</v>
      </c>
      <c r="B32" s="17" t="s">
        <v>20</v>
      </c>
      <c r="C32" s="28" t="s">
        <v>32</v>
      </c>
      <c r="D32" s="29">
        <f t="shared" si="12"/>
        <v>138551191</v>
      </c>
      <c r="E32" s="21"/>
      <c r="F32" s="21"/>
      <c r="G32" s="21">
        <v>138551191</v>
      </c>
      <c r="H32" s="21"/>
      <c r="I32" s="20">
        <f t="shared" si="8"/>
        <v>29351730</v>
      </c>
      <c r="J32" s="21">
        <f t="shared" si="9"/>
        <v>24314643</v>
      </c>
      <c r="K32" s="21">
        <v>24314643</v>
      </c>
      <c r="L32" s="21">
        <v>0</v>
      </c>
      <c r="M32" s="21">
        <v>0</v>
      </c>
      <c r="N32" s="22">
        <v>5037087</v>
      </c>
      <c r="O32" s="20">
        <f t="shared" si="13"/>
        <v>167902921</v>
      </c>
      <c r="P32" s="21"/>
      <c r="Q32" s="18" t="b">
        <f t="shared" si="10"/>
        <v>1</v>
      </c>
      <c r="R32" t="b">
        <f t="shared" si="11"/>
        <v>1</v>
      </c>
      <c r="S32" t="b">
        <f t="shared" si="6"/>
        <v>1</v>
      </c>
    </row>
    <row r="33" spans="1:22" ht="16.899999999999999" customHeight="1" thickBot="1" x14ac:dyDescent="0.3">
      <c r="A33" s="45" t="s">
        <v>57</v>
      </c>
      <c r="B33" s="48" t="s">
        <v>16</v>
      </c>
      <c r="C33" s="66" t="s">
        <v>29</v>
      </c>
      <c r="D33" s="67">
        <f>G33</f>
        <v>665657045</v>
      </c>
      <c r="E33" s="67"/>
      <c r="F33" s="67"/>
      <c r="G33" s="67">
        <v>665657045</v>
      </c>
      <c r="H33" s="68"/>
      <c r="I33" s="68">
        <f t="shared" si="8"/>
        <v>117468891</v>
      </c>
      <c r="J33" s="69">
        <f t="shared" si="9"/>
        <v>117308136</v>
      </c>
      <c r="K33" s="68">
        <v>117308136</v>
      </c>
      <c r="L33" s="68">
        <v>0</v>
      </c>
      <c r="M33" s="68">
        <v>0</v>
      </c>
      <c r="N33" s="68">
        <v>160755</v>
      </c>
      <c r="O33" s="68">
        <f>D33+I33</f>
        <v>783125936</v>
      </c>
      <c r="P33" s="68"/>
      <c r="Q33" s="18" t="b">
        <f t="shared" si="10"/>
        <v>1</v>
      </c>
      <c r="R33" t="b">
        <f t="shared" si="11"/>
        <v>1</v>
      </c>
      <c r="S33" t="b">
        <f t="shared" si="6"/>
        <v>1</v>
      </c>
    </row>
    <row r="34" spans="1:22" ht="16.899999999999999" customHeight="1" thickBot="1" x14ac:dyDescent="0.3">
      <c r="A34" s="46"/>
      <c r="B34" s="49"/>
      <c r="C34" s="66" t="s">
        <v>30</v>
      </c>
      <c r="D34" s="67">
        <f t="shared" ref="D34:D39" si="14">G34</f>
        <v>19562618</v>
      </c>
      <c r="E34" s="68"/>
      <c r="F34" s="68"/>
      <c r="G34" s="68">
        <v>19562618</v>
      </c>
      <c r="H34" s="68"/>
      <c r="I34" s="68">
        <f t="shared" si="8"/>
        <v>19562618</v>
      </c>
      <c r="J34" s="69">
        <f t="shared" si="9"/>
        <v>19535847</v>
      </c>
      <c r="K34" s="68">
        <v>19535847</v>
      </c>
      <c r="L34" s="68">
        <v>0</v>
      </c>
      <c r="M34" s="68">
        <v>0</v>
      </c>
      <c r="N34" s="68">
        <v>26771</v>
      </c>
      <c r="O34" s="68">
        <f t="shared" ref="O34:O39" si="15">D34+I34</f>
        <v>39125236</v>
      </c>
      <c r="P34" s="68"/>
      <c r="Q34" s="18" t="b">
        <f t="shared" si="10"/>
        <v>1</v>
      </c>
      <c r="R34" t="b">
        <f t="shared" si="11"/>
        <v>1</v>
      </c>
      <c r="S34" t="b">
        <f t="shared" si="6"/>
        <v>1</v>
      </c>
    </row>
    <row r="35" spans="1:22" ht="16.899999999999999" customHeight="1" thickBot="1" x14ac:dyDescent="0.3">
      <c r="A35" s="46"/>
      <c r="B35" s="49"/>
      <c r="C35" s="66" t="s">
        <v>31</v>
      </c>
      <c r="D35" s="67">
        <f t="shared" si="14"/>
        <v>37515902</v>
      </c>
      <c r="E35" s="68"/>
      <c r="F35" s="68"/>
      <c r="G35" s="68">
        <v>37515902</v>
      </c>
      <c r="H35" s="68"/>
      <c r="I35" s="68">
        <f t="shared" si="8"/>
        <v>16078244</v>
      </c>
      <c r="J35" s="69">
        <f t="shared" si="9"/>
        <v>16056241</v>
      </c>
      <c r="K35" s="68">
        <v>16056241</v>
      </c>
      <c r="L35" s="68">
        <v>0</v>
      </c>
      <c r="M35" s="68">
        <v>0</v>
      </c>
      <c r="N35" s="68">
        <v>22003</v>
      </c>
      <c r="O35" s="68">
        <f t="shared" si="15"/>
        <v>53594146</v>
      </c>
      <c r="P35" s="68"/>
      <c r="Q35" s="18" t="b">
        <f t="shared" si="10"/>
        <v>1</v>
      </c>
      <c r="R35" t="b">
        <f t="shared" si="11"/>
        <v>1</v>
      </c>
      <c r="S35" t="b">
        <f t="shared" si="6"/>
        <v>1</v>
      </c>
    </row>
    <row r="36" spans="1:22" ht="16.899999999999999" customHeight="1" thickBot="1" x14ac:dyDescent="0.3">
      <c r="A36" s="47"/>
      <c r="B36" s="50"/>
      <c r="C36" s="70" t="s">
        <v>32</v>
      </c>
      <c r="D36" s="71">
        <f>D33+D34+D35</f>
        <v>722735565</v>
      </c>
      <c r="E36" s="71">
        <f t="shared" ref="E36" si="16">E33+E34+E35</f>
        <v>0</v>
      </c>
      <c r="F36" s="71">
        <f t="shared" ref="F36" si="17">F33+F34+F35</f>
        <v>0</v>
      </c>
      <c r="G36" s="71">
        <f t="shared" ref="G36" si="18">G33+G34+G35</f>
        <v>722735565</v>
      </c>
      <c r="H36" s="71">
        <f t="shared" ref="H36" si="19">H33+H34+H35</f>
        <v>0</v>
      </c>
      <c r="I36" s="71">
        <f t="shared" ref="I36" si="20">I33+I34+I35</f>
        <v>153109753</v>
      </c>
      <c r="J36" s="71">
        <f t="shared" ref="J36" si="21">J33+J34+J35</f>
        <v>152900224</v>
      </c>
      <c r="K36" s="71">
        <f t="shared" ref="K36" si="22">K33+K34+K35</f>
        <v>152900224</v>
      </c>
      <c r="L36" s="71">
        <f t="shared" ref="L36" si="23">L33+L34+L35</f>
        <v>0</v>
      </c>
      <c r="M36" s="71">
        <f t="shared" ref="M36" si="24">M33+M34+M35</f>
        <v>0</v>
      </c>
      <c r="N36" s="71">
        <f t="shared" ref="N36" si="25">N33+N34+N35</f>
        <v>209529</v>
      </c>
      <c r="O36" s="71">
        <f t="shared" ref="O36" si="26">O33+O34+O35</f>
        <v>875845318</v>
      </c>
      <c r="P36" s="71">
        <f t="shared" ref="P36" si="27">P33+P34+P35</f>
        <v>0</v>
      </c>
      <c r="Q36" s="18" t="b">
        <f t="shared" si="10"/>
        <v>1</v>
      </c>
      <c r="R36" t="b">
        <f t="shared" si="11"/>
        <v>1</v>
      </c>
      <c r="S36" t="b">
        <f t="shared" si="6"/>
        <v>1</v>
      </c>
    </row>
    <row r="37" spans="1:22" ht="16.899999999999999" customHeight="1" thickBot="1" x14ac:dyDescent="0.3">
      <c r="A37" s="11" t="s">
        <v>58</v>
      </c>
      <c r="B37" s="17" t="s">
        <v>16</v>
      </c>
      <c r="C37" s="28" t="s">
        <v>32</v>
      </c>
      <c r="D37" s="29">
        <f t="shared" si="14"/>
        <v>704273643</v>
      </c>
      <c r="E37" s="21"/>
      <c r="F37" s="21"/>
      <c r="G37" s="21">
        <v>704273643</v>
      </c>
      <c r="H37" s="21"/>
      <c r="I37" s="20">
        <f t="shared" ref="I37:I42" si="28">J37+N37</f>
        <v>149198640</v>
      </c>
      <c r="J37" s="21">
        <f t="shared" ref="J37:J42" si="29">K37+L37+M37</f>
        <v>149198640</v>
      </c>
      <c r="K37" s="21">
        <v>149198640</v>
      </c>
      <c r="L37" s="21">
        <v>0</v>
      </c>
      <c r="M37" s="21">
        <v>0</v>
      </c>
      <c r="N37" s="22">
        <v>0</v>
      </c>
      <c r="O37" s="20">
        <f t="shared" si="15"/>
        <v>853472283</v>
      </c>
      <c r="P37" s="21"/>
      <c r="Q37" s="18" t="b">
        <f t="shared" si="10"/>
        <v>1</v>
      </c>
      <c r="R37" t="b">
        <f t="shared" si="11"/>
        <v>1</v>
      </c>
      <c r="S37" t="b">
        <f t="shared" si="6"/>
        <v>1</v>
      </c>
    </row>
    <row r="38" spans="1:22" ht="16.899999999999999" customHeight="1" thickBot="1" x14ac:dyDescent="0.3">
      <c r="A38" s="11" t="s">
        <v>59</v>
      </c>
      <c r="B38" s="17" t="s">
        <v>16</v>
      </c>
      <c r="C38" s="28" t="s">
        <v>32</v>
      </c>
      <c r="D38" s="29">
        <f t="shared" si="14"/>
        <v>5763324</v>
      </c>
      <c r="E38" s="21"/>
      <c r="F38" s="21"/>
      <c r="G38" s="21">
        <v>5763324</v>
      </c>
      <c r="H38" s="21"/>
      <c r="I38" s="20">
        <f t="shared" si="28"/>
        <v>1220947</v>
      </c>
      <c r="J38" s="21">
        <f t="shared" si="29"/>
        <v>1011418</v>
      </c>
      <c r="K38" s="21">
        <v>1011418</v>
      </c>
      <c r="L38" s="21">
        <v>0</v>
      </c>
      <c r="M38" s="21">
        <v>0</v>
      </c>
      <c r="N38" s="22">
        <v>209529</v>
      </c>
      <c r="O38" s="20">
        <f t="shared" si="15"/>
        <v>6984271</v>
      </c>
      <c r="P38" s="21"/>
      <c r="Q38" s="18" t="b">
        <f t="shared" si="10"/>
        <v>1</v>
      </c>
      <c r="R38" t="b">
        <f t="shared" si="11"/>
        <v>1</v>
      </c>
      <c r="S38" t="b">
        <f t="shared" si="6"/>
        <v>1</v>
      </c>
    </row>
    <row r="39" spans="1:22" ht="16.899999999999999" customHeight="1" thickBot="1" x14ac:dyDescent="0.3">
      <c r="A39" s="11" t="s">
        <v>60</v>
      </c>
      <c r="B39" s="17" t="s">
        <v>16</v>
      </c>
      <c r="C39" s="28" t="s">
        <v>32</v>
      </c>
      <c r="D39" s="29">
        <f t="shared" si="14"/>
        <v>12698598</v>
      </c>
      <c r="E39" s="21"/>
      <c r="F39" s="21"/>
      <c r="G39" s="21">
        <v>12698598</v>
      </c>
      <c r="H39" s="21"/>
      <c r="I39" s="20">
        <f t="shared" si="28"/>
        <v>2690166</v>
      </c>
      <c r="J39" s="21">
        <f t="shared" si="29"/>
        <v>2690166</v>
      </c>
      <c r="K39" s="21">
        <v>2690166</v>
      </c>
      <c r="L39" s="21">
        <v>0</v>
      </c>
      <c r="M39" s="21">
        <v>0</v>
      </c>
      <c r="N39" s="22">
        <v>0</v>
      </c>
      <c r="O39" s="20">
        <f t="shared" si="15"/>
        <v>15388764</v>
      </c>
      <c r="P39" s="21"/>
      <c r="Q39" s="18" t="b">
        <f t="shared" si="10"/>
        <v>1</v>
      </c>
      <c r="R39" t="b">
        <f t="shared" si="11"/>
        <v>1</v>
      </c>
      <c r="S39" t="b">
        <f t="shared" si="6"/>
        <v>1</v>
      </c>
    </row>
    <row r="40" spans="1:22" ht="16.899999999999999" customHeight="1" thickBot="1" x14ac:dyDescent="0.3">
      <c r="A40" s="45" t="s">
        <v>61</v>
      </c>
      <c r="B40" s="48" t="s">
        <v>103</v>
      </c>
      <c r="C40" s="66" t="s">
        <v>29</v>
      </c>
      <c r="D40" s="67">
        <f>G40</f>
        <v>612499523</v>
      </c>
      <c r="E40" s="67"/>
      <c r="F40" s="67"/>
      <c r="G40" s="67">
        <v>612499523</v>
      </c>
      <c r="H40" s="68"/>
      <c r="I40" s="68">
        <f t="shared" si="28"/>
        <v>108088152</v>
      </c>
      <c r="J40" s="69">
        <f t="shared" si="29"/>
        <v>104694218</v>
      </c>
      <c r="K40" s="68">
        <v>101871945</v>
      </c>
      <c r="L40" s="68">
        <v>0</v>
      </c>
      <c r="M40" s="68">
        <v>2822273</v>
      </c>
      <c r="N40" s="68">
        <v>3393934</v>
      </c>
      <c r="O40" s="68">
        <f>D40+I40</f>
        <v>720587675</v>
      </c>
      <c r="P40" s="68"/>
      <c r="Q40" s="18" t="b">
        <f t="shared" si="10"/>
        <v>1</v>
      </c>
      <c r="R40" t="b">
        <f t="shared" si="11"/>
        <v>1</v>
      </c>
      <c r="S40" t="b">
        <f t="shared" si="6"/>
        <v>1</v>
      </c>
    </row>
    <row r="41" spans="1:22" ht="16.899999999999999" customHeight="1" thickBot="1" x14ac:dyDescent="0.3">
      <c r="A41" s="46"/>
      <c r="B41" s="49"/>
      <c r="C41" s="66" t="s">
        <v>30</v>
      </c>
      <c r="D41" s="67">
        <f t="shared" ref="D41:D42" si="30">G41</f>
        <v>18000402</v>
      </c>
      <c r="E41" s="68"/>
      <c r="F41" s="68"/>
      <c r="G41" s="68">
        <v>18000402</v>
      </c>
      <c r="H41" s="68"/>
      <c r="I41" s="68">
        <f t="shared" si="28"/>
        <v>18000402</v>
      </c>
      <c r="J41" s="69">
        <f t="shared" si="29"/>
        <v>17435195</v>
      </c>
      <c r="K41" s="68">
        <v>16965189</v>
      </c>
      <c r="L41" s="68">
        <v>0</v>
      </c>
      <c r="M41" s="68">
        <v>470006</v>
      </c>
      <c r="N41" s="68">
        <v>565207</v>
      </c>
      <c r="O41" s="68">
        <f t="shared" ref="O41:O42" si="31">D41+I41</f>
        <v>36000804</v>
      </c>
      <c r="P41" s="68"/>
      <c r="Q41" s="18" t="b">
        <f t="shared" si="10"/>
        <v>1</v>
      </c>
      <c r="R41" t="b">
        <f t="shared" si="11"/>
        <v>1</v>
      </c>
      <c r="S41" t="b">
        <f t="shared" si="6"/>
        <v>1</v>
      </c>
    </row>
    <row r="42" spans="1:22" ht="16.899999999999999" customHeight="1" thickBot="1" x14ac:dyDescent="0.3">
      <c r="A42" s="46"/>
      <c r="B42" s="49"/>
      <c r="C42" s="66" t="s">
        <v>31</v>
      </c>
      <c r="D42" s="67">
        <f t="shared" si="30"/>
        <v>34519986</v>
      </c>
      <c r="E42" s="68"/>
      <c r="F42" s="68"/>
      <c r="G42" s="68">
        <v>34519986</v>
      </c>
      <c r="H42" s="68"/>
      <c r="I42" s="68">
        <f t="shared" si="28"/>
        <v>14794280</v>
      </c>
      <c r="J42" s="69">
        <f t="shared" si="29"/>
        <v>14329744</v>
      </c>
      <c r="K42" s="68">
        <v>13943453</v>
      </c>
      <c r="L42" s="68">
        <v>0</v>
      </c>
      <c r="M42" s="68">
        <v>386291</v>
      </c>
      <c r="N42" s="68">
        <v>464536</v>
      </c>
      <c r="O42" s="68">
        <f t="shared" si="31"/>
        <v>49314266</v>
      </c>
      <c r="P42" s="68"/>
      <c r="Q42" s="18" t="b">
        <f t="shared" si="10"/>
        <v>1</v>
      </c>
      <c r="R42" t="b">
        <f t="shared" si="11"/>
        <v>1</v>
      </c>
      <c r="S42" t="b">
        <f t="shared" si="6"/>
        <v>1</v>
      </c>
    </row>
    <row r="43" spans="1:22" ht="16.899999999999999" customHeight="1" thickBot="1" x14ac:dyDescent="0.3">
      <c r="A43" s="47"/>
      <c r="B43" s="50"/>
      <c r="C43" s="70" t="s">
        <v>32</v>
      </c>
      <c r="D43" s="71">
        <f>D40+D41+D42</f>
        <v>665019911</v>
      </c>
      <c r="E43" s="71">
        <f t="shared" ref="E43" si="32">E40+E41+E42</f>
        <v>0</v>
      </c>
      <c r="F43" s="71">
        <f t="shared" ref="F43" si="33">F40+F41+F42</f>
        <v>0</v>
      </c>
      <c r="G43" s="71">
        <f t="shared" ref="G43" si="34">G40+G41+G42</f>
        <v>665019911</v>
      </c>
      <c r="H43" s="71">
        <f t="shared" ref="H43" si="35">H40+H41+H42</f>
        <v>0</v>
      </c>
      <c r="I43" s="71">
        <f>I40+I41+I42</f>
        <v>140882834</v>
      </c>
      <c r="J43" s="71">
        <f t="shared" ref="J43" si="36">J40+J41+J42</f>
        <v>136459157</v>
      </c>
      <c r="K43" s="71">
        <f t="shared" ref="K43" si="37">K40+K41+K42</f>
        <v>132780587</v>
      </c>
      <c r="L43" s="71">
        <f t="shared" ref="L43" si="38">L40+L41+L42</f>
        <v>0</v>
      </c>
      <c r="M43" s="71">
        <f t="shared" ref="M43" si="39">M40+M41+M42</f>
        <v>3678570</v>
      </c>
      <c r="N43" s="71">
        <f t="shared" ref="N43" si="40">N40+N41+N42</f>
        <v>4423677</v>
      </c>
      <c r="O43" s="71">
        <f t="shared" ref="O43" si="41">O40+O41+O42</f>
        <v>805902745</v>
      </c>
      <c r="P43" s="71">
        <f t="shared" ref="P43" si="42">P40+P41+P42</f>
        <v>0</v>
      </c>
      <c r="Q43" s="18" t="b">
        <f t="shared" si="10"/>
        <v>1</v>
      </c>
      <c r="R43" t="b">
        <f t="shared" si="11"/>
        <v>1</v>
      </c>
      <c r="S43" t="b">
        <f t="shared" si="6"/>
        <v>1</v>
      </c>
    </row>
    <row r="44" spans="1:22" ht="16.899999999999999" customHeight="1" thickBot="1" x14ac:dyDescent="0.3">
      <c r="A44" s="11" t="s">
        <v>62</v>
      </c>
      <c r="B44" s="17" t="s">
        <v>19</v>
      </c>
      <c r="C44" s="28" t="s">
        <v>32</v>
      </c>
      <c r="D44" s="29">
        <f t="shared" ref="D44:D51" si="43">G44</f>
        <v>148348101</v>
      </c>
      <c r="E44" s="21"/>
      <c r="F44" s="21"/>
      <c r="G44" s="21">
        <v>148348101</v>
      </c>
      <c r="H44" s="21"/>
      <c r="I44" s="20">
        <f t="shared" ref="I44:I54" si="44">J44+N44</f>
        <v>31427180</v>
      </c>
      <c r="J44" s="21">
        <f>K44+L44+M44</f>
        <v>29712492</v>
      </c>
      <c r="K44" s="21">
        <v>26033922</v>
      </c>
      <c r="L44" s="21">
        <v>0</v>
      </c>
      <c r="M44" s="21">
        <v>3678570</v>
      </c>
      <c r="N44" s="22">
        <v>1714688</v>
      </c>
      <c r="O44" s="20">
        <f>D44+I44</f>
        <v>179775281</v>
      </c>
      <c r="P44" s="21"/>
      <c r="Q44" s="18" t="b">
        <f t="shared" si="10"/>
        <v>1</v>
      </c>
      <c r="R44" t="b">
        <f t="shared" si="11"/>
        <v>1</v>
      </c>
      <c r="S44" t="b">
        <f t="shared" si="6"/>
        <v>1</v>
      </c>
    </row>
    <row r="45" spans="1:22" ht="16.899999999999999" customHeight="1" thickBot="1" x14ac:dyDescent="0.3">
      <c r="A45" s="11" t="s">
        <v>63</v>
      </c>
      <c r="B45" s="17" t="s">
        <v>21</v>
      </c>
      <c r="C45" s="28" t="s">
        <v>32</v>
      </c>
      <c r="D45" s="29">
        <f t="shared" si="43"/>
        <v>14593980</v>
      </c>
      <c r="E45" s="21"/>
      <c r="F45" s="21"/>
      <c r="G45" s="21">
        <v>14593980</v>
      </c>
      <c r="H45" s="21"/>
      <c r="I45" s="20">
        <f t="shared" si="44"/>
        <v>3091698</v>
      </c>
      <c r="J45" s="21">
        <f t="shared" ref="J45:J71" si="45">K45+L45+M45</f>
        <v>3091698</v>
      </c>
      <c r="K45" s="21">
        <v>3091698</v>
      </c>
      <c r="L45" s="21">
        <v>0</v>
      </c>
      <c r="M45" s="21">
        <v>0</v>
      </c>
      <c r="N45" s="22">
        <v>0</v>
      </c>
      <c r="O45" s="20">
        <f t="shared" ref="O45:O51" si="46">D45+I45</f>
        <v>17685678</v>
      </c>
      <c r="P45" s="21"/>
      <c r="Q45" s="18" t="b">
        <f t="shared" si="10"/>
        <v>1</v>
      </c>
      <c r="R45" t="b">
        <f t="shared" si="11"/>
        <v>1</v>
      </c>
      <c r="S45" t="b">
        <f t="shared" si="6"/>
        <v>1</v>
      </c>
    </row>
    <row r="46" spans="1:22" ht="16.899999999999999" customHeight="1" thickBot="1" x14ac:dyDescent="0.3">
      <c r="A46" s="11" t="s">
        <v>64</v>
      </c>
      <c r="B46" s="17" t="s">
        <v>21</v>
      </c>
      <c r="C46" s="28" t="s">
        <v>32</v>
      </c>
      <c r="D46" s="29">
        <f t="shared" si="43"/>
        <v>51921835</v>
      </c>
      <c r="E46" s="21"/>
      <c r="F46" s="21"/>
      <c r="G46" s="21">
        <f>51921835</f>
        <v>51921835</v>
      </c>
      <c r="H46" s="21"/>
      <c r="I46" s="20">
        <f t="shared" si="44"/>
        <v>10999513</v>
      </c>
      <c r="J46" s="21">
        <f t="shared" si="45"/>
        <v>10999513</v>
      </c>
      <c r="K46" s="21">
        <f>10999513</f>
        <v>10999513</v>
      </c>
      <c r="L46" s="21">
        <v>0</v>
      </c>
      <c r="M46" s="21">
        <v>0</v>
      </c>
      <c r="N46" s="22">
        <v>0</v>
      </c>
      <c r="O46" s="20">
        <f t="shared" si="46"/>
        <v>62921348</v>
      </c>
      <c r="P46" s="21"/>
      <c r="Q46" s="18" t="b">
        <f t="shared" si="10"/>
        <v>1</v>
      </c>
      <c r="R46" t="b">
        <f t="shared" si="11"/>
        <v>1</v>
      </c>
      <c r="S46" t="b">
        <f t="shared" si="6"/>
        <v>1</v>
      </c>
      <c r="U46" s="19"/>
      <c r="V46" s="19"/>
    </row>
    <row r="47" spans="1:22" ht="16.899999999999999" customHeight="1" thickBot="1" x14ac:dyDescent="0.3">
      <c r="A47" s="11" t="s">
        <v>64</v>
      </c>
      <c r="B47" s="17" t="s">
        <v>24</v>
      </c>
      <c r="C47" s="28" t="s">
        <v>32</v>
      </c>
      <c r="D47" s="29">
        <f t="shared" si="43"/>
        <v>30388913</v>
      </c>
      <c r="E47" s="21"/>
      <c r="F47" s="21"/>
      <c r="G47" s="21">
        <f>39660669-9271756</f>
        <v>30388913</v>
      </c>
      <c r="H47" s="21"/>
      <c r="I47" s="20">
        <f t="shared" si="44"/>
        <v>6437817</v>
      </c>
      <c r="J47" s="21">
        <f t="shared" si="45"/>
        <v>6437817</v>
      </c>
      <c r="K47" s="21">
        <f>8402016-1964199</f>
        <v>6437817</v>
      </c>
      <c r="L47" s="21">
        <v>0</v>
      </c>
      <c r="M47" s="21">
        <v>0</v>
      </c>
      <c r="N47" s="22">
        <v>0</v>
      </c>
      <c r="O47" s="20">
        <f t="shared" si="46"/>
        <v>36826730</v>
      </c>
      <c r="P47" s="21"/>
      <c r="Q47" s="18" t="b">
        <f t="shared" si="10"/>
        <v>1</v>
      </c>
      <c r="R47" t="b">
        <f t="shared" si="11"/>
        <v>1</v>
      </c>
      <c r="S47" t="b">
        <f t="shared" si="6"/>
        <v>1</v>
      </c>
    </row>
    <row r="48" spans="1:22" ht="16.899999999999999" customHeight="1" thickBot="1" x14ac:dyDescent="0.3">
      <c r="A48" s="11" t="s">
        <v>65</v>
      </c>
      <c r="B48" s="17" t="s">
        <v>21</v>
      </c>
      <c r="C48" s="28" t="s">
        <v>32</v>
      </c>
      <c r="D48" s="29">
        <f t="shared" si="43"/>
        <v>292987498</v>
      </c>
      <c r="E48" s="21"/>
      <c r="F48" s="21"/>
      <c r="G48" s="21">
        <f>305967957-12980459</f>
        <v>292987498</v>
      </c>
      <c r="H48" s="21"/>
      <c r="I48" s="20">
        <f t="shared" si="44"/>
        <v>62068682</v>
      </c>
      <c r="J48" s="21">
        <f t="shared" si="45"/>
        <v>59359693</v>
      </c>
      <c r="K48" s="21">
        <f>62109571-2749878</f>
        <v>59359693</v>
      </c>
      <c r="L48" s="21">
        <v>0</v>
      </c>
      <c r="M48" s="21">
        <v>0</v>
      </c>
      <c r="N48" s="22">
        <v>2708989</v>
      </c>
      <c r="O48" s="20">
        <f t="shared" si="46"/>
        <v>355056180</v>
      </c>
      <c r="P48" s="21"/>
      <c r="Q48" s="18" t="b">
        <f t="shared" si="10"/>
        <v>1</v>
      </c>
      <c r="R48" t="b">
        <f t="shared" si="11"/>
        <v>1</v>
      </c>
      <c r="S48" t="b">
        <f t="shared" si="6"/>
        <v>1</v>
      </c>
    </row>
    <row r="49" spans="1:19" ht="16.899999999999999" customHeight="1" thickBot="1" x14ac:dyDescent="0.3">
      <c r="A49" s="11" t="s">
        <v>66</v>
      </c>
      <c r="B49" s="17" t="s">
        <v>21</v>
      </c>
      <c r="C49" s="28" t="s">
        <v>32</v>
      </c>
      <c r="D49" s="29">
        <f t="shared" si="43"/>
        <v>40795727</v>
      </c>
      <c r="E49" s="21"/>
      <c r="F49" s="21"/>
      <c r="G49" s="21">
        <f>46358781-5563054</f>
        <v>40795727</v>
      </c>
      <c r="H49" s="21"/>
      <c r="I49" s="20">
        <f t="shared" si="44"/>
        <v>8642475</v>
      </c>
      <c r="J49" s="21">
        <f t="shared" si="45"/>
        <v>8642475</v>
      </c>
      <c r="K49" s="21">
        <f>9820994-1178519</f>
        <v>8642475</v>
      </c>
      <c r="L49" s="21">
        <v>0</v>
      </c>
      <c r="M49" s="21">
        <v>0</v>
      </c>
      <c r="N49" s="22">
        <v>0</v>
      </c>
      <c r="O49" s="20">
        <f t="shared" si="46"/>
        <v>49438202</v>
      </c>
      <c r="P49" s="21"/>
      <c r="Q49" s="18" t="b">
        <f t="shared" si="10"/>
        <v>1</v>
      </c>
      <c r="R49" t="b">
        <f t="shared" si="11"/>
        <v>1</v>
      </c>
      <c r="S49" t="b">
        <f t="shared" si="6"/>
        <v>1</v>
      </c>
    </row>
    <row r="50" spans="1:19" ht="16.899999999999999" customHeight="1" thickBot="1" x14ac:dyDescent="0.3">
      <c r="A50" s="11" t="s">
        <v>67</v>
      </c>
      <c r="B50" s="17" t="s">
        <v>24</v>
      </c>
      <c r="C50" s="28" t="s">
        <v>32</v>
      </c>
      <c r="D50" s="29">
        <f t="shared" si="43"/>
        <v>13907635</v>
      </c>
      <c r="E50" s="21"/>
      <c r="F50" s="21"/>
      <c r="G50" s="21">
        <v>13907635</v>
      </c>
      <c r="H50" s="21"/>
      <c r="I50" s="20">
        <f t="shared" si="44"/>
        <v>2946298</v>
      </c>
      <c r="J50" s="21">
        <f t="shared" si="45"/>
        <v>2946298</v>
      </c>
      <c r="K50" s="21">
        <v>2946298</v>
      </c>
      <c r="L50" s="21">
        <v>0</v>
      </c>
      <c r="M50" s="21">
        <v>0</v>
      </c>
      <c r="N50" s="22">
        <v>0</v>
      </c>
      <c r="O50" s="20">
        <f t="shared" si="46"/>
        <v>16853933</v>
      </c>
      <c r="P50" s="21"/>
      <c r="Q50" s="18" t="b">
        <f t="shared" si="10"/>
        <v>1</v>
      </c>
      <c r="R50" t="b">
        <f t="shared" si="11"/>
        <v>1</v>
      </c>
      <c r="S50" t="b">
        <f t="shared" si="6"/>
        <v>1</v>
      </c>
    </row>
    <row r="51" spans="1:19" ht="16.899999999999999" customHeight="1" thickBot="1" x14ac:dyDescent="0.3">
      <c r="A51" s="11" t="s">
        <v>68</v>
      </c>
      <c r="B51" s="17" t="s">
        <v>24</v>
      </c>
      <c r="C51" s="28" t="s">
        <v>32</v>
      </c>
      <c r="D51" s="29">
        <f t="shared" si="43"/>
        <v>72076222</v>
      </c>
      <c r="E51" s="21"/>
      <c r="F51" s="21"/>
      <c r="G51" s="21">
        <v>72076222</v>
      </c>
      <c r="H51" s="21"/>
      <c r="I51" s="20">
        <f t="shared" si="44"/>
        <v>15269171</v>
      </c>
      <c r="J51" s="21">
        <f t="shared" si="45"/>
        <v>15269171</v>
      </c>
      <c r="K51" s="21">
        <v>15269171</v>
      </c>
      <c r="L51" s="21">
        <v>0</v>
      </c>
      <c r="M51" s="21">
        <v>0</v>
      </c>
      <c r="N51" s="22">
        <v>0</v>
      </c>
      <c r="O51" s="20">
        <f t="shared" si="46"/>
        <v>87345393</v>
      </c>
      <c r="P51" s="21"/>
      <c r="Q51" s="18" t="b">
        <f t="shared" si="10"/>
        <v>1</v>
      </c>
      <c r="R51" t="b">
        <f t="shared" si="11"/>
        <v>1</v>
      </c>
      <c r="S51" t="b">
        <f t="shared" si="6"/>
        <v>1</v>
      </c>
    </row>
    <row r="52" spans="1:19" ht="16.899999999999999" customHeight="1" thickBot="1" x14ac:dyDescent="0.3">
      <c r="A52" s="45" t="s">
        <v>69</v>
      </c>
      <c r="B52" s="48" t="s">
        <v>104</v>
      </c>
      <c r="C52" s="66" t="s">
        <v>29</v>
      </c>
      <c r="D52" s="67">
        <f>G52</f>
        <v>641912679</v>
      </c>
      <c r="E52" s="67"/>
      <c r="F52" s="67"/>
      <c r="G52" s="67">
        <f>641912681-2</f>
        <v>641912679</v>
      </c>
      <c r="H52" s="68"/>
      <c r="I52" s="68">
        <f t="shared" si="44"/>
        <v>113278709</v>
      </c>
      <c r="J52" s="69">
        <f>K52+L52+M52</f>
        <v>106840343</v>
      </c>
      <c r="K52" s="68">
        <f>86526349-1</f>
        <v>86526348</v>
      </c>
      <c r="L52" s="68">
        <v>0</v>
      </c>
      <c r="M52" s="68">
        <v>20313995</v>
      </c>
      <c r="N52" s="68">
        <v>6438366</v>
      </c>
      <c r="O52" s="68">
        <f>D52+I52</f>
        <v>755191388</v>
      </c>
      <c r="P52" s="68"/>
      <c r="Q52" s="18" t="b">
        <f t="shared" si="10"/>
        <v>1</v>
      </c>
      <c r="R52" t="b">
        <f t="shared" si="11"/>
        <v>1</v>
      </c>
      <c r="S52" t="b">
        <f t="shared" si="6"/>
        <v>1</v>
      </c>
    </row>
    <row r="53" spans="1:19" ht="16.899999999999999" customHeight="1" thickBot="1" x14ac:dyDescent="0.3">
      <c r="A53" s="46"/>
      <c r="B53" s="49"/>
      <c r="C53" s="66" t="s">
        <v>30</v>
      </c>
      <c r="D53" s="67">
        <f t="shared" ref="D53:D62" si="47">G53</f>
        <v>18864809</v>
      </c>
      <c r="E53" s="68"/>
      <c r="F53" s="68"/>
      <c r="G53" s="68">
        <f>18864808+1</f>
        <v>18864809</v>
      </c>
      <c r="H53" s="68"/>
      <c r="I53" s="68">
        <f t="shared" si="44"/>
        <v>18864809</v>
      </c>
      <c r="J53" s="69">
        <f t="shared" si="45"/>
        <v>17792599</v>
      </c>
      <c r="K53" s="68">
        <f>14409618+1</f>
        <v>14409619</v>
      </c>
      <c r="L53" s="68">
        <v>0</v>
      </c>
      <c r="M53" s="68">
        <v>3382980</v>
      </c>
      <c r="N53" s="68">
        <v>1072210</v>
      </c>
      <c r="O53" s="68">
        <f t="shared" ref="O53:O62" si="48">D53+I53</f>
        <v>37729618</v>
      </c>
      <c r="P53" s="68"/>
      <c r="Q53" s="18" t="b">
        <f t="shared" si="10"/>
        <v>1</v>
      </c>
      <c r="R53" t="b">
        <f t="shared" si="11"/>
        <v>1</v>
      </c>
      <c r="S53" t="b">
        <f t="shared" si="6"/>
        <v>1</v>
      </c>
    </row>
    <row r="54" spans="1:19" ht="16.899999999999999" customHeight="1" thickBot="1" x14ac:dyDescent="0.3">
      <c r="A54" s="46"/>
      <c r="B54" s="49"/>
      <c r="C54" s="66" t="s">
        <v>31</v>
      </c>
      <c r="D54" s="67">
        <f t="shared" si="47"/>
        <v>36177689</v>
      </c>
      <c r="E54" s="68"/>
      <c r="F54" s="68"/>
      <c r="G54" s="68">
        <f>36177688+1</f>
        <v>36177689</v>
      </c>
      <c r="H54" s="68"/>
      <c r="I54" s="68">
        <f t="shared" si="44"/>
        <v>15504724</v>
      </c>
      <c r="J54" s="69">
        <f t="shared" si="45"/>
        <v>14623490</v>
      </c>
      <c r="K54" s="68">
        <v>11843066</v>
      </c>
      <c r="L54" s="68">
        <v>0</v>
      </c>
      <c r="M54" s="68">
        <v>2780424</v>
      </c>
      <c r="N54" s="68">
        <v>881234</v>
      </c>
      <c r="O54" s="68">
        <f t="shared" si="48"/>
        <v>51682413</v>
      </c>
      <c r="P54" s="68"/>
      <c r="Q54" s="18" t="b">
        <f t="shared" si="10"/>
        <v>1</v>
      </c>
      <c r="R54" t="b">
        <f t="shared" si="11"/>
        <v>1</v>
      </c>
      <c r="S54" t="b">
        <f t="shared" si="6"/>
        <v>1</v>
      </c>
    </row>
    <row r="55" spans="1:19" ht="16.899999999999999" customHeight="1" thickBot="1" x14ac:dyDescent="0.3">
      <c r="A55" s="47"/>
      <c r="B55" s="50"/>
      <c r="C55" s="70" t="s">
        <v>32</v>
      </c>
      <c r="D55" s="71">
        <f>D52+D53+D54</f>
        <v>696955177</v>
      </c>
      <c r="E55" s="71">
        <f t="shared" ref="E55" si="49">E52+E53+E54</f>
        <v>0</v>
      </c>
      <c r="F55" s="71">
        <f t="shared" ref="F55" si="50">F52+F53+F54</f>
        <v>0</v>
      </c>
      <c r="G55" s="71">
        <f t="shared" ref="G55" si="51">G52+G53+G54</f>
        <v>696955177</v>
      </c>
      <c r="H55" s="71">
        <f t="shared" ref="H55" si="52">H52+H53+H54</f>
        <v>0</v>
      </c>
      <c r="I55" s="71">
        <f t="shared" ref="I55" si="53">I52+I53+I54</f>
        <v>147648242</v>
      </c>
      <c r="J55" s="71">
        <f t="shared" ref="J55" si="54">J52+J53+J54</f>
        <v>139256432</v>
      </c>
      <c r="K55" s="71">
        <f t="shared" ref="K55" si="55">K52+K53+K54</f>
        <v>112779033</v>
      </c>
      <c r="L55" s="71">
        <f t="shared" ref="L55" si="56">L52+L53+L54</f>
        <v>0</v>
      </c>
      <c r="M55" s="71">
        <f t="shared" ref="M55" si="57">M52+M53+M54</f>
        <v>26477399</v>
      </c>
      <c r="N55" s="71">
        <f t="shared" ref="N55" si="58">N52+N53+N54</f>
        <v>8391810</v>
      </c>
      <c r="O55" s="71">
        <f t="shared" ref="O55" si="59">O52+O53+O54</f>
        <v>844603419</v>
      </c>
      <c r="P55" s="71">
        <f t="shared" ref="P55" si="60">P52+P53+P54</f>
        <v>0</v>
      </c>
      <c r="Q55" s="18" t="b">
        <f t="shared" si="10"/>
        <v>1</v>
      </c>
      <c r="R55" t="b">
        <f t="shared" si="11"/>
        <v>1</v>
      </c>
      <c r="S55" t="b">
        <f t="shared" si="6"/>
        <v>1</v>
      </c>
    </row>
    <row r="56" spans="1:19" ht="16.899999999999999" customHeight="1" thickBot="1" x14ac:dyDescent="0.3">
      <c r="A56" s="11" t="s">
        <v>70</v>
      </c>
      <c r="B56" s="17" t="s">
        <v>15</v>
      </c>
      <c r="C56" s="28" t="s">
        <v>32</v>
      </c>
      <c r="D56" s="29">
        <f t="shared" si="47"/>
        <v>124983275</v>
      </c>
      <c r="E56" s="21"/>
      <c r="F56" s="21"/>
      <c r="G56" s="21">
        <v>124983275</v>
      </c>
      <c r="H56" s="21"/>
      <c r="I56" s="20">
        <f t="shared" ref="I56:I75" si="61">J56+N56</f>
        <v>26477399</v>
      </c>
      <c r="J56" s="21">
        <f>K56+L56+M56</f>
        <v>26477399</v>
      </c>
      <c r="K56" s="21">
        <v>0</v>
      </c>
      <c r="L56" s="21">
        <v>0</v>
      </c>
      <c r="M56" s="21">
        <v>26477399</v>
      </c>
      <c r="N56" s="22">
        <v>0</v>
      </c>
      <c r="O56" s="20">
        <f t="shared" si="48"/>
        <v>151460674</v>
      </c>
      <c r="P56" s="21"/>
      <c r="Q56" s="18" t="b">
        <f t="shared" si="10"/>
        <v>1</v>
      </c>
      <c r="R56" t="b">
        <f t="shared" si="11"/>
        <v>1</v>
      </c>
      <c r="S56" t="b">
        <f t="shared" si="6"/>
        <v>1</v>
      </c>
    </row>
    <row r="57" spans="1:19" ht="16.899999999999999" customHeight="1" thickBot="1" x14ac:dyDescent="0.3">
      <c r="A57" s="11" t="s">
        <v>71</v>
      </c>
      <c r="B57" s="17" t="s">
        <v>16</v>
      </c>
      <c r="C57" s="28" t="s">
        <v>32</v>
      </c>
      <c r="D57" s="29">
        <f t="shared" si="47"/>
        <v>4450443</v>
      </c>
      <c r="E57" s="21"/>
      <c r="F57" s="21"/>
      <c r="G57" s="21">
        <v>4450443</v>
      </c>
      <c r="H57" s="21"/>
      <c r="I57" s="20">
        <f t="shared" si="61"/>
        <v>942815</v>
      </c>
      <c r="J57" s="21">
        <f t="shared" si="45"/>
        <v>781017</v>
      </c>
      <c r="K57" s="21">
        <v>781017</v>
      </c>
      <c r="L57" s="21">
        <v>0</v>
      </c>
      <c r="M57" s="21">
        <v>0</v>
      </c>
      <c r="N57" s="22">
        <v>161798</v>
      </c>
      <c r="O57" s="20">
        <f>D57+I57</f>
        <v>5393258</v>
      </c>
      <c r="P57" s="21"/>
      <c r="Q57" s="18" t="b">
        <f t="shared" si="10"/>
        <v>1</v>
      </c>
      <c r="R57" t="b">
        <f t="shared" si="11"/>
        <v>1</v>
      </c>
      <c r="S57" t="b">
        <f t="shared" si="6"/>
        <v>1</v>
      </c>
    </row>
    <row r="58" spans="1:19" ht="16.899999999999999" customHeight="1" thickBot="1" x14ac:dyDescent="0.3">
      <c r="A58" s="11" t="s">
        <v>72</v>
      </c>
      <c r="B58" s="17" t="s">
        <v>17</v>
      </c>
      <c r="C58" s="28" t="s">
        <v>32</v>
      </c>
      <c r="D58" s="29">
        <f t="shared" si="47"/>
        <v>39636759</v>
      </c>
      <c r="E58" s="21"/>
      <c r="F58" s="21"/>
      <c r="G58" s="21">
        <v>39636759</v>
      </c>
      <c r="H58" s="21"/>
      <c r="I58" s="20">
        <f t="shared" si="61"/>
        <v>8396949</v>
      </c>
      <c r="J58" s="21">
        <f t="shared" si="45"/>
        <v>6955937</v>
      </c>
      <c r="K58" s="21">
        <v>6955937</v>
      </c>
      <c r="L58" s="21">
        <v>0</v>
      </c>
      <c r="M58" s="21">
        <v>0</v>
      </c>
      <c r="N58" s="22">
        <v>1441012</v>
      </c>
      <c r="O58" s="20">
        <f t="shared" si="48"/>
        <v>48033708</v>
      </c>
      <c r="P58" s="21"/>
      <c r="Q58" s="18" t="b">
        <f t="shared" si="10"/>
        <v>1</v>
      </c>
      <c r="R58" t="b">
        <f t="shared" si="11"/>
        <v>1</v>
      </c>
      <c r="S58" t="b">
        <f t="shared" si="6"/>
        <v>1</v>
      </c>
    </row>
    <row r="59" spans="1:19" ht="16.899999999999999" customHeight="1" thickBot="1" x14ac:dyDescent="0.3">
      <c r="A59" s="11" t="s">
        <v>73</v>
      </c>
      <c r="B59" s="17" t="s">
        <v>18</v>
      </c>
      <c r="C59" s="28" t="s">
        <v>32</v>
      </c>
      <c r="D59" s="29">
        <f t="shared" si="47"/>
        <v>1909982</v>
      </c>
      <c r="E59" s="21"/>
      <c r="F59" s="21"/>
      <c r="G59" s="21">
        <v>1909982</v>
      </c>
      <c r="H59" s="21"/>
      <c r="I59" s="20">
        <f t="shared" si="61"/>
        <v>404625</v>
      </c>
      <c r="J59" s="21">
        <f t="shared" si="45"/>
        <v>335187</v>
      </c>
      <c r="K59" s="21">
        <v>335187</v>
      </c>
      <c r="L59" s="21">
        <v>0</v>
      </c>
      <c r="M59" s="21">
        <v>0</v>
      </c>
      <c r="N59" s="22">
        <v>69438</v>
      </c>
      <c r="O59" s="20">
        <f t="shared" si="48"/>
        <v>2314607</v>
      </c>
      <c r="P59" s="21"/>
      <c r="Q59" s="18" t="b">
        <f t="shared" si="10"/>
        <v>1</v>
      </c>
      <c r="R59" t="b">
        <f t="shared" si="11"/>
        <v>1</v>
      </c>
      <c r="S59" t="b">
        <f t="shared" si="6"/>
        <v>1</v>
      </c>
    </row>
    <row r="60" spans="1:19" ht="16.899999999999999" customHeight="1" thickBot="1" x14ac:dyDescent="0.3">
      <c r="A60" s="11" t="s">
        <v>74</v>
      </c>
      <c r="B60" s="17" t="s">
        <v>20</v>
      </c>
      <c r="C60" s="28" t="s">
        <v>32</v>
      </c>
      <c r="D60" s="29">
        <f t="shared" si="47"/>
        <v>4506073</v>
      </c>
      <c r="E60" s="21"/>
      <c r="F60" s="21"/>
      <c r="G60" s="21">
        <v>4506073</v>
      </c>
      <c r="H60" s="21"/>
      <c r="I60" s="20">
        <f t="shared" si="61"/>
        <v>954601</v>
      </c>
      <c r="J60" s="21">
        <f t="shared" si="45"/>
        <v>790781</v>
      </c>
      <c r="K60" s="21">
        <v>790781</v>
      </c>
      <c r="L60" s="21">
        <v>0</v>
      </c>
      <c r="M60" s="21">
        <v>0</v>
      </c>
      <c r="N60" s="22">
        <v>163820</v>
      </c>
      <c r="O60" s="20">
        <f t="shared" si="48"/>
        <v>5460674</v>
      </c>
      <c r="P60" s="21"/>
      <c r="Q60" s="18" t="b">
        <f t="shared" si="10"/>
        <v>1</v>
      </c>
      <c r="R60" t="b">
        <f t="shared" si="11"/>
        <v>1</v>
      </c>
      <c r="S60" t="b">
        <f t="shared" si="6"/>
        <v>1</v>
      </c>
    </row>
    <row r="61" spans="1:19" ht="16.899999999999999" customHeight="1" thickBot="1" x14ac:dyDescent="0.3">
      <c r="A61" s="11" t="s">
        <v>75</v>
      </c>
      <c r="B61" s="17" t="s">
        <v>20</v>
      </c>
      <c r="C61" s="28" t="s">
        <v>32</v>
      </c>
      <c r="D61" s="29">
        <f t="shared" si="47"/>
        <v>13061165</v>
      </c>
      <c r="E61" s="21"/>
      <c r="F61" s="21"/>
      <c r="G61" s="21">
        <v>13061165</v>
      </c>
      <c r="H61" s="21"/>
      <c r="I61" s="20">
        <f t="shared" si="61"/>
        <v>2766976</v>
      </c>
      <c r="J61" s="21">
        <f t="shared" si="45"/>
        <v>2292132</v>
      </c>
      <c r="K61" s="21">
        <v>2292132</v>
      </c>
      <c r="L61" s="21">
        <v>0</v>
      </c>
      <c r="M61" s="21">
        <v>0</v>
      </c>
      <c r="N61" s="22">
        <v>474844</v>
      </c>
      <c r="O61" s="20">
        <f t="shared" si="48"/>
        <v>15828141</v>
      </c>
      <c r="P61" s="21"/>
      <c r="Q61" s="18" t="b">
        <f t="shared" si="10"/>
        <v>1</v>
      </c>
      <c r="R61" t="b">
        <f t="shared" si="11"/>
        <v>1</v>
      </c>
      <c r="S61" t="b">
        <f t="shared" si="6"/>
        <v>1</v>
      </c>
    </row>
    <row r="62" spans="1:19" ht="16.899999999999999" customHeight="1" thickBot="1" x14ac:dyDescent="0.3">
      <c r="A62" s="11" t="s">
        <v>76</v>
      </c>
      <c r="B62" s="17" t="s">
        <v>21</v>
      </c>
      <c r="C62" s="28" t="s">
        <v>32</v>
      </c>
      <c r="D62" s="29">
        <f t="shared" si="47"/>
        <v>7046535</v>
      </c>
      <c r="E62" s="21"/>
      <c r="F62" s="21"/>
      <c r="G62" s="21">
        <v>7046535</v>
      </c>
      <c r="H62" s="21"/>
      <c r="I62" s="20">
        <f t="shared" si="61"/>
        <v>1492791</v>
      </c>
      <c r="J62" s="22">
        <f t="shared" si="45"/>
        <v>1492791</v>
      </c>
      <c r="K62" s="22">
        <f>1236611+256180</f>
        <v>1492791</v>
      </c>
      <c r="L62" s="21">
        <v>0</v>
      </c>
      <c r="M62" s="21">
        <v>0</v>
      </c>
      <c r="N62" s="22">
        <f>256180-256180</f>
        <v>0</v>
      </c>
      <c r="O62" s="20">
        <f t="shared" si="48"/>
        <v>8539326</v>
      </c>
      <c r="P62" s="21"/>
      <c r="Q62" s="18" t="b">
        <f t="shared" si="10"/>
        <v>1</v>
      </c>
      <c r="R62" t="b">
        <f t="shared" si="11"/>
        <v>1</v>
      </c>
      <c r="S62" t="b">
        <f t="shared" si="6"/>
        <v>1</v>
      </c>
    </row>
    <row r="63" spans="1:19" ht="16.899999999999999" customHeight="1" thickBot="1" x14ac:dyDescent="0.3">
      <c r="A63" s="11" t="s">
        <v>77</v>
      </c>
      <c r="B63" s="17" t="s">
        <v>21</v>
      </c>
      <c r="C63" s="28" t="s">
        <v>32</v>
      </c>
      <c r="D63" s="29">
        <f t="shared" ref="D63:D69" si="62">G63</f>
        <v>35431090</v>
      </c>
      <c r="E63" s="21"/>
      <c r="F63" s="21"/>
      <c r="G63" s="21">
        <v>35431090</v>
      </c>
      <c r="H63" s="21"/>
      <c r="I63" s="20">
        <f t="shared" si="61"/>
        <v>7505989</v>
      </c>
      <c r="J63" s="21">
        <f t="shared" si="45"/>
        <v>7505989</v>
      </c>
      <c r="K63" s="21">
        <v>7505989</v>
      </c>
      <c r="L63" s="21">
        <v>0</v>
      </c>
      <c r="M63" s="21">
        <v>0</v>
      </c>
      <c r="N63" s="22">
        <v>0</v>
      </c>
      <c r="O63" s="20">
        <f t="shared" ref="O63:O69" si="63">D63+I63</f>
        <v>42937079</v>
      </c>
      <c r="P63" s="21"/>
      <c r="Q63" s="18" t="b">
        <f t="shared" si="10"/>
        <v>1</v>
      </c>
      <c r="R63" t="b">
        <f t="shared" si="11"/>
        <v>1</v>
      </c>
      <c r="S63" t="b">
        <f t="shared" si="6"/>
        <v>1</v>
      </c>
    </row>
    <row r="64" spans="1:19" ht="16.899999999999999" customHeight="1" thickBot="1" x14ac:dyDescent="0.3">
      <c r="A64" s="11" t="s">
        <v>78</v>
      </c>
      <c r="B64" s="17" t="s">
        <v>21</v>
      </c>
      <c r="C64" s="28" t="s">
        <v>32</v>
      </c>
      <c r="D64" s="29">
        <f t="shared" si="62"/>
        <v>33467331</v>
      </c>
      <c r="E64" s="21"/>
      <c r="F64" s="21"/>
      <c r="G64" s="21">
        <v>33467331</v>
      </c>
      <c r="H64" s="21"/>
      <c r="I64" s="20">
        <f t="shared" si="61"/>
        <v>7089972</v>
      </c>
      <c r="J64" s="21">
        <f t="shared" si="45"/>
        <v>2020309</v>
      </c>
      <c r="K64" s="21">
        <v>2020309</v>
      </c>
      <c r="L64" s="21">
        <v>0</v>
      </c>
      <c r="M64" s="21">
        <v>0</v>
      </c>
      <c r="N64" s="22">
        <v>5069663</v>
      </c>
      <c r="O64" s="20">
        <f t="shared" si="63"/>
        <v>40557303</v>
      </c>
      <c r="P64" s="21"/>
      <c r="Q64" s="18" t="b">
        <f t="shared" si="10"/>
        <v>1</v>
      </c>
      <c r="R64" t="b">
        <f t="shared" si="11"/>
        <v>1</v>
      </c>
      <c r="S64" t="b">
        <f t="shared" si="6"/>
        <v>1</v>
      </c>
    </row>
    <row r="65" spans="1:20" ht="16.899999999999999" customHeight="1" thickBot="1" x14ac:dyDescent="0.3">
      <c r="A65" s="11" t="s">
        <v>79</v>
      </c>
      <c r="B65" s="17" t="s">
        <v>22</v>
      </c>
      <c r="C65" s="28" t="s">
        <v>32</v>
      </c>
      <c r="D65" s="29">
        <f t="shared" si="62"/>
        <v>5377619</v>
      </c>
      <c r="E65" s="21"/>
      <c r="F65" s="21"/>
      <c r="G65" s="21">
        <v>5377619</v>
      </c>
      <c r="H65" s="21"/>
      <c r="I65" s="20">
        <f t="shared" si="61"/>
        <v>1139235</v>
      </c>
      <c r="J65" s="21">
        <f t="shared" si="45"/>
        <v>1139235</v>
      </c>
      <c r="K65" s="21">
        <v>1139235</v>
      </c>
      <c r="L65" s="21">
        <v>0</v>
      </c>
      <c r="M65" s="21">
        <v>0</v>
      </c>
      <c r="N65" s="22">
        <v>0</v>
      </c>
      <c r="O65" s="20">
        <f t="shared" si="63"/>
        <v>6516854</v>
      </c>
      <c r="P65" s="21"/>
      <c r="Q65" s="18" t="b">
        <f t="shared" si="10"/>
        <v>1</v>
      </c>
      <c r="R65" t="b">
        <f t="shared" si="11"/>
        <v>1</v>
      </c>
      <c r="S65" t="b">
        <f t="shared" si="6"/>
        <v>1</v>
      </c>
    </row>
    <row r="66" spans="1:20" ht="16.899999999999999" customHeight="1" thickBot="1" x14ac:dyDescent="0.3">
      <c r="A66" s="11" t="s">
        <v>80</v>
      </c>
      <c r="B66" s="17" t="s">
        <v>22</v>
      </c>
      <c r="C66" s="28" t="s">
        <v>32</v>
      </c>
      <c r="D66" s="29">
        <f t="shared" si="62"/>
        <v>4821314</v>
      </c>
      <c r="E66" s="21"/>
      <c r="F66" s="21"/>
      <c r="G66" s="21">
        <v>4821314</v>
      </c>
      <c r="H66" s="21"/>
      <c r="I66" s="20">
        <f t="shared" si="61"/>
        <v>1021383</v>
      </c>
      <c r="J66" s="21">
        <f t="shared" si="45"/>
        <v>1021383</v>
      </c>
      <c r="K66" s="21">
        <v>1021383</v>
      </c>
      <c r="L66" s="21">
        <v>0</v>
      </c>
      <c r="M66" s="21">
        <v>0</v>
      </c>
      <c r="N66" s="22">
        <v>0</v>
      </c>
      <c r="O66" s="20">
        <f t="shared" si="63"/>
        <v>5842697</v>
      </c>
      <c r="P66" s="21"/>
      <c r="Q66" s="18" t="b">
        <f t="shared" si="10"/>
        <v>1</v>
      </c>
      <c r="R66" t="b">
        <f t="shared" si="11"/>
        <v>1</v>
      </c>
      <c r="S66" t="b">
        <f t="shared" si="6"/>
        <v>1</v>
      </c>
    </row>
    <row r="67" spans="1:20" ht="16.899999999999999" customHeight="1" thickBot="1" x14ac:dyDescent="0.3">
      <c r="A67" s="11" t="s">
        <v>81</v>
      </c>
      <c r="B67" s="17" t="s">
        <v>24</v>
      </c>
      <c r="C67" s="28" t="s">
        <v>32</v>
      </c>
      <c r="D67" s="29">
        <f t="shared" si="62"/>
        <v>20397864</v>
      </c>
      <c r="E67" s="21"/>
      <c r="F67" s="21"/>
      <c r="G67" s="21">
        <v>20397864</v>
      </c>
      <c r="H67" s="21"/>
      <c r="I67" s="20">
        <f t="shared" si="61"/>
        <v>4321237</v>
      </c>
      <c r="J67" s="21">
        <f t="shared" si="45"/>
        <v>3579664</v>
      </c>
      <c r="K67" s="21">
        <v>3579664</v>
      </c>
      <c r="L67" s="21">
        <v>0</v>
      </c>
      <c r="M67" s="21">
        <v>0</v>
      </c>
      <c r="N67" s="22">
        <v>741573</v>
      </c>
      <c r="O67" s="20">
        <f t="shared" si="63"/>
        <v>24719101</v>
      </c>
      <c r="P67" s="21"/>
      <c r="Q67" s="18" t="b">
        <f t="shared" si="10"/>
        <v>1</v>
      </c>
      <c r="R67" t="b">
        <f t="shared" si="11"/>
        <v>1</v>
      </c>
      <c r="S67" t="b">
        <f t="shared" si="6"/>
        <v>1</v>
      </c>
    </row>
    <row r="68" spans="1:20" ht="16.899999999999999" customHeight="1" thickBot="1" x14ac:dyDescent="0.3">
      <c r="A68" s="11" t="s">
        <v>82</v>
      </c>
      <c r="B68" s="17" t="s">
        <v>24</v>
      </c>
      <c r="C68" s="28" t="s">
        <v>32</v>
      </c>
      <c r="D68" s="73">
        <f t="shared" si="62"/>
        <v>156321809</v>
      </c>
      <c r="E68" s="22"/>
      <c r="F68" s="22"/>
      <c r="G68" s="22">
        <v>156321809</v>
      </c>
      <c r="H68" s="22"/>
      <c r="I68" s="33">
        <f t="shared" si="61"/>
        <v>33116391</v>
      </c>
      <c r="J68" s="22">
        <f t="shared" si="45"/>
        <v>32846729</v>
      </c>
      <c r="K68" s="22">
        <v>32846729</v>
      </c>
      <c r="L68" s="22">
        <v>0</v>
      </c>
      <c r="M68" s="22">
        <v>0</v>
      </c>
      <c r="N68" s="22">
        <v>269662</v>
      </c>
      <c r="O68" s="33">
        <f t="shared" si="63"/>
        <v>189438200</v>
      </c>
      <c r="P68" s="21"/>
      <c r="Q68" s="18" t="b">
        <f t="shared" si="10"/>
        <v>1</v>
      </c>
      <c r="R68" t="b">
        <f t="shared" si="11"/>
        <v>1</v>
      </c>
      <c r="S68" t="b">
        <f t="shared" si="6"/>
        <v>1</v>
      </c>
    </row>
    <row r="69" spans="1:20" ht="16.899999999999999" customHeight="1" thickBot="1" x14ac:dyDescent="0.3">
      <c r="A69" s="11" t="s">
        <v>83</v>
      </c>
      <c r="B69" s="17" t="s">
        <v>24</v>
      </c>
      <c r="C69" s="28" t="s">
        <v>32</v>
      </c>
      <c r="D69" s="29">
        <f t="shared" si="62"/>
        <v>19842300</v>
      </c>
      <c r="E69" s="21"/>
      <c r="F69" s="21"/>
      <c r="G69" s="21">
        <v>19842300</v>
      </c>
      <c r="H69" s="21"/>
      <c r="I69" s="20">
        <f t="shared" si="61"/>
        <v>4203543</v>
      </c>
      <c r="J69" s="21">
        <f t="shared" si="45"/>
        <v>4203543</v>
      </c>
      <c r="K69" s="21">
        <v>4203543</v>
      </c>
      <c r="L69" s="21">
        <v>0</v>
      </c>
      <c r="M69" s="21">
        <v>0</v>
      </c>
      <c r="N69" s="22">
        <v>0</v>
      </c>
      <c r="O69" s="20">
        <f t="shared" si="63"/>
        <v>24045843</v>
      </c>
      <c r="P69" s="21"/>
      <c r="Q69" s="18" t="b">
        <f t="shared" si="10"/>
        <v>1</v>
      </c>
      <c r="R69" t="b">
        <f t="shared" si="11"/>
        <v>1</v>
      </c>
      <c r="S69" t="b">
        <f t="shared" si="6"/>
        <v>1</v>
      </c>
    </row>
    <row r="70" spans="1:20" ht="16.899999999999999" customHeight="1" thickBot="1" x14ac:dyDescent="0.3">
      <c r="A70" s="11" t="s">
        <v>84</v>
      </c>
      <c r="B70" s="17" t="s">
        <v>24</v>
      </c>
      <c r="C70" s="28" t="s">
        <v>32</v>
      </c>
      <c r="D70" s="29">
        <f t="shared" ref="D70:D71" si="64">G70</f>
        <v>127635738</v>
      </c>
      <c r="E70" s="21"/>
      <c r="F70" s="21"/>
      <c r="G70" s="21">
        <f>146179251-18543513</f>
        <v>127635738</v>
      </c>
      <c r="H70" s="21"/>
      <c r="I70" s="20">
        <f t="shared" si="61"/>
        <v>27039320</v>
      </c>
      <c r="J70" s="21">
        <f t="shared" si="45"/>
        <v>27039320</v>
      </c>
      <c r="K70" s="21">
        <f>30967716-3928396</f>
        <v>27039320</v>
      </c>
      <c r="L70" s="21">
        <v>0</v>
      </c>
      <c r="M70" s="21">
        <v>0</v>
      </c>
      <c r="N70" s="22">
        <v>0</v>
      </c>
      <c r="O70" s="20">
        <f t="shared" ref="O70:O71" si="65">D70+I70</f>
        <v>154675058</v>
      </c>
      <c r="P70" s="21"/>
      <c r="Q70" s="18" t="b">
        <f t="shared" si="10"/>
        <v>1</v>
      </c>
      <c r="R70" t="b">
        <f t="shared" si="11"/>
        <v>1</v>
      </c>
      <c r="S70" t="b">
        <f t="shared" si="6"/>
        <v>1</v>
      </c>
    </row>
    <row r="71" spans="1:20" ht="16.899999999999999" customHeight="1" thickBot="1" x14ac:dyDescent="0.3">
      <c r="A71" s="11" t="s">
        <v>85</v>
      </c>
      <c r="B71" s="17" t="s">
        <v>25</v>
      </c>
      <c r="C71" s="28" t="s">
        <v>32</v>
      </c>
      <c r="D71" s="29">
        <f t="shared" si="64"/>
        <v>2132504</v>
      </c>
      <c r="E71" s="21"/>
      <c r="F71" s="21"/>
      <c r="G71" s="21">
        <v>2132504</v>
      </c>
      <c r="H71" s="21"/>
      <c r="I71" s="20">
        <f t="shared" si="61"/>
        <v>451766</v>
      </c>
      <c r="J71" s="21">
        <f t="shared" si="45"/>
        <v>451766</v>
      </c>
      <c r="K71" s="21">
        <v>451766</v>
      </c>
      <c r="L71" s="21">
        <v>0</v>
      </c>
      <c r="M71" s="21">
        <v>0</v>
      </c>
      <c r="N71" s="22">
        <v>0</v>
      </c>
      <c r="O71" s="20">
        <f t="shared" si="65"/>
        <v>2584270</v>
      </c>
      <c r="P71" s="21"/>
      <c r="Q71" s="18" t="b">
        <f t="shared" si="10"/>
        <v>1</v>
      </c>
      <c r="R71" t="b">
        <f t="shared" si="11"/>
        <v>1</v>
      </c>
      <c r="S71" t="b">
        <f t="shared" ref="S71:S95" si="66">J71=K71+L71+M71</f>
        <v>1</v>
      </c>
    </row>
    <row r="72" spans="1:20" ht="16.899999999999999" customHeight="1" thickBot="1" x14ac:dyDescent="0.3">
      <c r="A72" s="104" t="s">
        <v>106</v>
      </c>
      <c r="B72" s="105" t="s">
        <v>22</v>
      </c>
      <c r="C72" s="28" t="s">
        <v>32</v>
      </c>
      <c r="D72" s="29">
        <f t="shared" ref="D72" si="67">G72</f>
        <v>95933376</v>
      </c>
      <c r="E72" s="21"/>
      <c r="F72" s="21"/>
      <c r="G72" s="21">
        <v>95933376</v>
      </c>
      <c r="H72" s="21"/>
      <c r="I72" s="20">
        <f t="shared" ref="I72" si="68">J72+N72</f>
        <v>20323250</v>
      </c>
      <c r="J72" s="21">
        <f t="shared" ref="J72" si="69">K72+L72+M72</f>
        <v>20323250</v>
      </c>
      <c r="K72" s="21">
        <v>20323250</v>
      </c>
      <c r="L72" s="21">
        <v>0</v>
      </c>
      <c r="M72" s="21">
        <v>0</v>
      </c>
      <c r="N72" s="22">
        <v>0</v>
      </c>
      <c r="O72" s="20">
        <f t="shared" ref="O72" si="70">D72+I72</f>
        <v>116256626</v>
      </c>
      <c r="P72" s="21"/>
      <c r="Q72" s="18" t="b">
        <f t="shared" ref="Q72" si="71">I72=J72+N72</f>
        <v>1</v>
      </c>
      <c r="R72" t="b">
        <f t="shared" ref="R72" si="72">G72+I72=O72</f>
        <v>1</v>
      </c>
      <c r="S72" t="b">
        <f t="shared" ref="S72" si="73">J72=K72+L72+M72</f>
        <v>1</v>
      </c>
    </row>
    <row r="73" spans="1:20" ht="16.899999999999999" customHeight="1" thickBot="1" x14ac:dyDescent="0.3">
      <c r="A73" s="45" t="s">
        <v>86</v>
      </c>
      <c r="B73" s="48" t="s">
        <v>100</v>
      </c>
      <c r="C73" s="66" t="s">
        <v>29</v>
      </c>
      <c r="D73" s="67">
        <f>G73</f>
        <v>141858695</v>
      </c>
      <c r="E73" s="67"/>
      <c r="F73" s="67"/>
      <c r="G73" s="67">
        <v>141858695</v>
      </c>
      <c r="H73" s="68"/>
      <c r="I73" s="68">
        <f t="shared" si="61"/>
        <v>7466248</v>
      </c>
      <c r="J73" s="69">
        <f>K73+L73+M73</f>
        <v>7466248</v>
      </c>
      <c r="K73" s="68">
        <f>7466247+1</f>
        <v>7466248</v>
      </c>
      <c r="L73" s="68">
        <v>0</v>
      </c>
      <c r="M73" s="68">
        <v>0</v>
      </c>
      <c r="N73" s="68">
        <v>0</v>
      </c>
      <c r="O73" s="68">
        <f>D73+I73</f>
        <v>149324943</v>
      </c>
      <c r="P73" s="68"/>
      <c r="Q73" s="18" t="b">
        <f t="shared" si="10"/>
        <v>1</v>
      </c>
      <c r="R73" t="b">
        <f t="shared" si="11"/>
        <v>1</v>
      </c>
      <c r="S73" t="b">
        <f t="shared" si="66"/>
        <v>1</v>
      </c>
      <c r="T73" s="23"/>
    </row>
    <row r="74" spans="1:20" ht="16.899999999999999" customHeight="1" thickBot="1" x14ac:dyDescent="0.3">
      <c r="A74" s="46"/>
      <c r="B74" s="49"/>
      <c r="C74" s="66" t="s">
        <v>30</v>
      </c>
      <c r="D74" s="67">
        <f t="shared" ref="D74:D87" si="74">G74</f>
        <v>4169005</v>
      </c>
      <c r="E74" s="68"/>
      <c r="F74" s="68"/>
      <c r="G74" s="68">
        <v>4169005</v>
      </c>
      <c r="H74" s="68"/>
      <c r="I74" s="68">
        <f t="shared" si="61"/>
        <v>219422</v>
      </c>
      <c r="J74" s="69">
        <f t="shared" ref="J74:J75" si="75">K74+L74+M74</f>
        <v>219422</v>
      </c>
      <c r="K74" s="68">
        <f>219421+1</f>
        <v>219422</v>
      </c>
      <c r="L74" s="68">
        <v>0</v>
      </c>
      <c r="M74" s="68">
        <v>0</v>
      </c>
      <c r="N74" s="68">
        <v>0</v>
      </c>
      <c r="O74" s="68">
        <f t="shared" ref="O74:O87" si="76">D74+I74</f>
        <v>4388427</v>
      </c>
      <c r="P74" s="68"/>
      <c r="Q74" s="18" t="b">
        <f t="shared" si="10"/>
        <v>1</v>
      </c>
      <c r="R74" t="b">
        <f t="shared" si="11"/>
        <v>1</v>
      </c>
      <c r="S74" t="b">
        <f t="shared" si="66"/>
        <v>1</v>
      </c>
      <c r="T74" s="23"/>
    </row>
    <row r="75" spans="1:20" ht="16.899999999999999" customHeight="1" thickBot="1" x14ac:dyDescent="0.3">
      <c r="A75" s="46"/>
      <c r="B75" s="49"/>
      <c r="C75" s="66" t="s">
        <v>31</v>
      </c>
      <c r="D75" s="67">
        <f t="shared" si="74"/>
        <v>7995043</v>
      </c>
      <c r="E75" s="68"/>
      <c r="F75" s="68"/>
      <c r="G75" s="68">
        <v>7995043</v>
      </c>
      <c r="H75" s="68"/>
      <c r="I75" s="68">
        <f t="shared" si="61"/>
        <v>420792</v>
      </c>
      <c r="J75" s="69">
        <f t="shared" si="75"/>
        <v>420792</v>
      </c>
      <c r="K75" s="68">
        <v>420792</v>
      </c>
      <c r="L75" s="68">
        <v>0</v>
      </c>
      <c r="M75" s="68">
        <v>0</v>
      </c>
      <c r="N75" s="68">
        <v>0</v>
      </c>
      <c r="O75" s="68">
        <f t="shared" si="76"/>
        <v>8415835</v>
      </c>
      <c r="P75" s="68"/>
      <c r="Q75" s="18" t="b">
        <f t="shared" si="10"/>
        <v>1</v>
      </c>
      <c r="R75" t="b">
        <f t="shared" si="11"/>
        <v>1</v>
      </c>
      <c r="S75" t="b">
        <f t="shared" si="66"/>
        <v>1</v>
      </c>
      <c r="T75" s="23"/>
    </row>
    <row r="76" spans="1:20" ht="16.899999999999999" customHeight="1" thickBot="1" x14ac:dyDescent="0.3">
      <c r="A76" s="47"/>
      <c r="B76" s="50"/>
      <c r="C76" s="70" t="s">
        <v>32</v>
      </c>
      <c r="D76" s="71">
        <f>D73+D74+D75</f>
        <v>154022743</v>
      </c>
      <c r="E76" s="71">
        <f t="shared" ref="E76" si="77">E73+E74+E75</f>
        <v>0</v>
      </c>
      <c r="F76" s="71">
        <f t="shared" ref="F76" si="78">F73+F74+F75</f>
        <v>0</v>
      </c>
      <c r="G76" s="71">
        <f t="shared" ref="G76" si="79">G73+G74+G75</f>
        <v>154022743</v>
      </c>
      <c r="H76" s="71">
        <f t="shared" ref="H76" si="80">H73+H74+H75</f>
        <v>0</v>
      </c>
      <c r="I76" s="71">
        <f t="shared" ref="I76" si="81">I73+I74+I75</f>
        <v>8106462</v>
      </c>
      <c r="J76" s="71">
        <f t="shared" ref="J76" si="82">J73+J74+J75</f>
        <v>8106462</v>
      </c>
      <c r="K76" s="71">
        <f t="shared" ref="K76" si="83">K73+K74+K75</f>
        <v>8106462</v>
      </c>
      <c r="L76" s="71">
        <f t="shared" ref="L76" si="84">L73+L74+L75</f>
        <v>0</v>
      </c>
      <c r="M76" s="71">
        <f t="shared" ref="M76" si="85">M73+M74+M75</f>
        <v>0</v>
      </c>
      <c r="N76" s="71">
        <f t="shared" ref="N76" si="86">N73+N74+N75</f>
        <v>0</v>
      </c>
      <c r="O76" s="71">
        <f t="shared" ref="O76" si="87">O73+O74+O75</f>
        <v>162129205</v>
      </c>
      <c r="P76" s="71">
        <f t="shared" ref="P76" si="88">P73+P74+P75</f>
        <v>0</v>
      </c>
      <c r="Q76" s="18" t="b">
        <f t="shared" ref="Q76:Q95" si="89">I76=J76+N76</f>
        <v>1</v>
      </c>
      <c r="R76" t="b">
        <f t="shared" ref="R76:R95" si="90">G76+I76=O76</f>
        <v>1</v>
      </c>
      <c r="S76" t="b">
        <f t="shared" si="66"/>
        <v>1</v>
      </c>
    </row>
    <row r="77" spans="1:20" ht="16.899999999999999" customHeight="1" thickBot="1" x14ac:dyDescent="0.3">
      <c r="A77" s="13" t="s">
        <v>87</v>
      </c>
      <c r="B77" s="17" t="s">
        <v>15</v>
      </c>
      <c r="C77" s="28" t="s">
        <v>32</v>
      </c>
      <c r="D77" s="29">
        <f t="shared" si="74"/>
        <v>14002067</v>
      </c>
      <c r="E77" s="29"/>
      <c r="F77" s="29"/>
      <c r="G77" s="29">
        <f t="shared" ref="G77:G86" si="91">17665961-3663894</f>
        <v>14002067</v>
      </c>
      <c r="H77" s="29"/>
      <c r="I77" s="20">
        <f t="shared" ref="I77:I90" si="92">J77+N77</f>
        <v>736950</v>
      </c>
      <c r="J77" s="21">
        <f t="shared" ref="J77:J90" si="93">K77+L77+M77</f>
        <v>736950</v>
      </c>
      <c r="K77" s="29">
        <f>929787-192837</f>
        <v>736950</v>
      </c>
      <c r="L77" s="29">
        <v>0</v>
      </c>
      <c r="M77" s="29">
        <v>0</v>
      </c>
      <c r="N77" s="73">
        <v>0</v>
      </c>
      <c r="O77" s="20">
        <f t="shared" si="76"/>
        <v>14739017</v>
      </c>
      <c r="P77" s="29"/>
      <c r="Q77" s="18" t="b">
        <f t="shared" si="89"/>
        <v>1</v>
      </c>
      <c r="R77" t="b">
        <f t="shared" si="90"/>
        <v>1</v>
      </c>
      <c r="S77" t="b">
        <f t="shared" si="66"/>
        <v>1</v>
      </c>
    </row>
    <row r="78" spans="1:20" ht="16.899999999999999" customHeight="1" thickBot="1" x14ac:dyDescent="0.3">
      <c r="A78" s="13" t="s">
        <v>87</v>
      </c>
      <c r="B78" s="17" t="s">
        <v>39</v>
      </c>
      <c r="C78" s="28" t="s">
        <v>32</v>
      </c>
      <c r="D78" s="29">
        <f t="shared" si="74"/>
        <v>14002067</v>
      </c>
      <c r="E78" s="29"/>
      <c r="F78" s="29"/>
      <c r="G78" s="29">
        <f t="shared" si="91"/>
        <v>14002067</v>
      </c>
      <c r="H78" s="29"/>
      <c r="I78" s="20">
        <f t="shared" si="92"/>
        <v>736950</v>
      </c>
      <c r="J78" s="21">
        <f t="shared" si="93"/>
        <v>736950</v>
      </c>
      <c r="K78" s="29">
        <f>929787-192837</f>
        <v>736950</v>
      </c>
      <c r="L78" s="29">
        <v>0</v>
      </c>
      <c r="M78" s="29">
        <v>0</v>
      </c>
      <c r="N78" s="73">
        <v>0</v>
      </c>
      <c r="O78" s="20">
        <f t="shared" si="76"/>
        <v>14739017</v>
      </c>
      <c r="P78" s="29"/>
      <c r="Q78" s="18" t="b">
        <f t="shared" si="89"/>
        <v>1</v>
      </c>
      <c r="R78" t="b">
        <f t="shared" si="90"/>
        <v>1</v>
      </c>
      <c r="S78" t="b">
        <f t="shared" si="66"/>
        <v>1</v>
      </c>
    </row>
    <row r="79" spans="1:20" ht="16.899999999999999" customHeight="1" thickBot="1" x14ac:dyDescent="0.3">
      <c r="A79" s="13" t="s">
        <v>87</v>
      </c>
      <c r="B79" s="17" t="s">
        <v>16</v>
      </c>
      <c r="C79" s="28" t="s">
        <v>32</v>
      </c>
      <c r="D79" s="29">
        <f t="shared" si="74"/>
        <v>14002067</v>
      </c>
      <c r="E79" s="29"/>
      <c r="F79" s="29"/>
      <c r="G79" s="29">
        <f t="shared" si="91"/>
        <v>14002067</v>
      </c>
      <c r="H79" s="29"/>
      <c r="I79" s="20">
        <f t="shared" si="92"/>
        <v>736950</v>
      </c>
      <c r="J79" s="21">
        <f t="shared" si="93"/>
        <v>736950</v>
      </c>
      <c r="K79" s="29">
        <f>929787-192837</f>
        <v>736950</v>
      </c>
      <c r="L79" s="29">
        <v>0</v>
      </c>
      <c r="M79" s="29">
        <v>0</v>
      </c>
      <c r="N79" s="73">
        <v>0</v>
      </c>
      <c r="O79" s="20">
        <f t="shared" si="76"/>
        <v>14739017</v>
      </c>
      <c r="P79" s="29"/>
      <c r="Q79" s="18" t="b">
        <f t="shared" si="89"/>
        <v>1</v>
      </c>
      <c r="R79" t="b">
        <f t="shared" si="90"/>
        <v>1</v>
      </c>
      <c r="S79" t="b">
        <f t="shared" si="66"/>
        <v>1</v>
      </c>
    </row>
    <row r="80" spans="1:20" ht="16.899999999999999" customHeight="1" thickBot="1" x14ac:dyDescent="0.3">
      <c r="A80" s="13" t="s">
        <v>87</v>
      </c>
      <c r="B80" s="17" t="s">
        <v>17</v>
      </c>
      <c r="C80" s="28" t="s">
        <v>32</v>
      </c>
      <c r="D80" s="29">
        <f t="shared" si="74"/>
        <v>14002067</v>
      </c>
      <c r="E80" s="29"/>
      <c r="F80" s="29"/>
      <c r="G80" s="29">
        <f t="shared" si="91"/>
        <v>14002067</v>
      </c>
      <c r="H80" s="29"/>
      <c r="I80" s="20">
        <f t="shared" si="92"/>
        <v>736950</v>
      </c>
      <c r="J80" s="21">
        <f t="shared" si="93"/>
        <v>736950</v>
      </c>
      <c r="K80" s="29">
        <f>929787-192837</f>
        <v>736950</v>
      </c>
      <c r="L80" s="29">
        <v>0</v>
      </c>
      <c r="M80" s="29">
        <v>0</v>
      </c>
      <c r="N80" s="73">
        <v>0</v>
      </c>
      <c r="O80" s="20">
        <f t="shared" si="76"/>
        <v>14739017</v>
      </c>
      <c r="P80" s="29"/>
      <c r="Q80" s="18" t="b">
        <f t="shared" si="89"/>
        <v>1</v>
      </c>
      <c r="R80" t="b">
        <f t="shared" si="90"/>
        <v>1</v>
      </c>
      <c r="S80" t="b">
        <f t="shared" si="66"/>
        <v>1</v>
      </c>
    </row>
    <row r="81" spans="1:20" ht="16.899999999999999" customHeight="1" thickBot="1" x14ac:dyDescent="0.3">
      <c r="A81" s="13" t="s">
        <v>87</v>
      </c>
      <c r="B81" s="17" t="s">
        <v>18</v>
      </c>
      <c r="C81" s="28" t="s">
        <v>32</v>
      </c>
      <c r="D81" s="29">
        <f t="shared" si="74"/>
        <v>14002067</v>
      </c>
      <c r="E81" s="29"/>
      <c r="F81" s="29"/>
      <c r="G81" s="29">
        <f t="shared" si="91"/>
        <v>14002067</v>
      </c>
      <c r="H81" s="29"/>
      <c r="I81" s="20">
        <f t="shared" si="92"/>
        <v>736950</v>
      </c>
      <c r="J81" s="21">
        <f t="shared" si="93"/>
        <v>736950</v>
      </c>
      <c r="K81" s="29">
        <f>929787-192837</f>
        <v>736950</v>
      </c>
      <c r="L81" s="29">
        <v>0</v>
      </c>
      <c r="M81" s="29">
        <v>0</v>
      </c>
      <c r="N81" s="73">
        <v>0</v>
      </c>
      <c r="O81" s="20">
        <f t="shared" si="76"/>
        <v>14739017</v>
      </c>
      <c r="P81" s="29"/>
      <c r="Q81" s="18" t="b">
        <f t="shared" si="89"/>
        <v>1</v>
      </c>
      <c r="R81" t="b">
        <f t="shared" si="90"/>
        <v>1</v>
      </c>
      <c r="S81" t="b">
        <f t="shared" si="66"/>
        <v>1</v>
      </c>
    </row>
    <row r="82" spans="1:20" ht="16.899999999999999" customHeight="1" thickBot="1" x14ac:dyDescent="0.3">
      <c r="A82" s="13" t="s">
        <v>87</v>
      </c>
      <c r="B82" s="17" t="s">
        <v>19</v>
      </c>
      <c r="C82" s="28" t="s">
        <v>32</v>
      </c>
      <c r="D82" s="29">
        <f t="shared" si="74"/>
        <v>14002067</v>
      </c>
      <c r="E82" s="29"/>
      <c r="F82" s="29"/>
      <c r="G82" s="29">
        <f t="shared" si="91"/>
        <v>14002067</v>
      </c>
      <c r="H82" s="29"/>
      <c r="I82" s="20">
        <f t="shared" si="92"/>
        <v>736952</v>
      </c>
      <c r="J82" s="21">
        <f t="shared" si="93"/>
        <v>736952</v>
      </c>
      <c r="K82" s="29">
        <f t="shared" ref="K82:K87" si="94">929788-192836</f>
        <v>736952</v>
      </c>
      <c r="L82" s="29">
        <v>0</v>
      </c>
      <c r="M82" s="29">
        <v>0</v>
      </c>
      <c r="N82" s="73">
        <v>0</v>
      </c>
      <c r="O82" s="20">
        <f t="shared" si="76"/>
        <v>14739019</v>
      </c>
      <c r="P82" s="29"/>
      <c r="Q82" s="18" t="b">
        <f t="shared" si="89"/>
        <v>1</v>
      </c>
      <c r="R82" t="b">
        <f t="shared" si="90"/>
        <v>1</v>
      </c>
      <c r="S82" t="b">
        <f t="shared" si="66"/>
        <v>1</v>
      </c>
    </row>
    <row r="83" spans="1:20" ht="16.899999999999999" customHeight="1" thickBot="1" x14ac:dyDescent="0.3">
      <c r="A83" s="13" t="s">
        <v>87</v>
      </c>
      <c r="B83" s="17" t="s">
        <v>20</v>
      </c>
      <c r="C83" s="28" t="s">
        <v>32</v>
      </c>
      <c r="D83" s="29">
        <f t="shared" si="74"/>
        <v>14002067</v>
      </c>
      <c r="E83" s="29"/>
      <c r="F83" s="29"/>
      <c r="G83" s="29">
        <f t="shared" si="91"/>
        <v>14002067</v>
      </c>
      <c r="H83" s="29"/>
      <c r="I83" s="20">
        <f t="shared" si="92"/>
        <v>736952</v>
      </c>
      <c r="J83" s="21">
        <f t="shared" si="93"/>
        <v>736952</v>
      </c>
      <c r="K83" s="29">
        <f t="shared" si="94"/>
        <v>736952</v>
      </c>
      <c r="L83" s="29">
        <v>0</v>
      </c>
      <c r="M83" s="29">
        <v>0</v>
      </c>
      <c r="N83" s="73">
        <v>0</v>
      </c>
      <c r="O83" s="20">
        <f t="shared" si="76"/>
        <v>14739019</v>
      </c>
      <c r="P83" s="29"/>
      <c r="Q83" s="18" t="b">
        <f t="shared" si="89"/>
        <v>1</v>
      </c>
      <c r="R83" t="b">
        <f t="shared" si="90"/>
        <v>1</v>
      </c>
      <c r="S83" t="b">
        <f t="shared" si="66"/>
        <v>1</v>
      </c>
    </row>
    <row r="84" spans="1:20" ht="16.899999999999999" customHeight="1" thickBot="1" x14ac:dyDescent="0.3">
      <c r="A84" s="13" t="s">
        <v>87</v>
      </c>
      <c r="B84" s="17" t="s">
        <v>21</v>
      </c>
      <c r="C84" s="28" t="s">
        <v>32</v>
      </c>
      <c r="D84" s="29">
        <f t="shared" si="74"/>
        <v>14002067</v>
      </c>
      <c r="E84" s="29"/>
      <c r="F84" s="29"/>
      <c r="G84" s="29">
        <f t="shared" si="91"/>
        <v>14002067</v>
      </c>
      <c r="H84" s="29"/>
      <c r="I84" s="20">
        <f t="shared" si="92"/>
        <v>736952</v>
      </c>
      <c r="J84" s="21">
        <f t="shared" si="93"/>
        <v>736952</v>
      </c>
      <c r="K84" s="29">
        <f t="shared" si="94"/>
        <v>736952</v>
      </c>
      <c r="L84" s="29">
        <v>0</v>
      </c>
      <c r="M84" s="29">
        <v>0</v>
      </c>
      <c r="N84" s="73">
        <v>0</v>
      </c>
      <c r="O84" s="20">
        <f t="shared" si="76"/>
        <v>14739019</v>
      </c>
      <c r="P84" s="29"/>
      <c r="Q84" s="18" t="b">
        <f t="shared" si="89"/>
        <v>1</v>
      </c>
      <c r="R84" t="b">
        <f t="shared" si="90"/>
        <v>1</v>
      </c>
      <c r="S84" t="b">
        <f t="shared" si="66"/>
        <v>1</v>
      </c>
    </row>
    <row r="85" spans="1:20" ht="16.899999999999999" customHeight="1" thickBot="1" x14ac:dyDescent="0.3">
      <c r="A85" s="13" t="s">
        <v>87</v>
      </c>
      <c r="B85" s="17" t="s">
        <v>22</v>
      </c>
      <c r="C85" s="28" t="s">
        <v>32</v>
      </c>
      <c r="D85" s="29">
        <f t="shared" si="74"/>
        <v>14002067</v>
      </c>
      <c r="E85" s="29"/>
      <c r="F85" s="29"/>
      <c r="G85" s="29">
        <f t="shared" si="91"/>
        <v>14002067</v>
      </c>
      <c r="H85" s="29"/>
      <c r="I85" s="20">
        <f t="shared" si="92"/>
        <v>736952</v>
      </c>
      <c r="J85" s="21">
        <f t="shared" si="93"/>
        <v>736952</v>
      </c>
      <c r="K85" s="29">
        <f t="shared" si="94"/>
        <v>736952</v>
      </c>
      <c r="L85" s="29">
        <v>0</v>
      </c>
      <c r="M85" s="29">
        <v>0</v>
      </c>
      <c r="N85" s="73">
        <v>0</v>
      </c>
      <c r="O85" s="20">
        <f t="shared" si="76"/>
        <v>14739019</v>
      </c>
      <c r="P85" s="29"/>
      <c r="Q85" s="18" t="b">
        <f t="shared" si="89"/>
        <v>1</v>
      </c>
      <c r="R85" t="b">
        <f t="shared" si="90"/>
        <v>1</v>
      </c>
      <c r="S85" t="b">
        <f t="shared" si="66"/>
        <v>1</v>
      </c>
    </row>
    <row r="86" spans="1:20" ht="16.899999999999999" customHeight="1" thickBot="1" x14ac:dyDescent="0.3">
      <c r="A86" s="13" t="s">
        <v>87</v>
      </c>
      <c r="B86" s="17" t="s">
        <v>24</v>
      </c>
      <c r="C86" s="28" t="s">
        <v>32</v>
      </c>
      <c r="D86" s="29">
        <f t="shared" si="74"/>
        <v>14002067</v>
      </c>
      <c r="E86" s="29"/>
      <c r="F86" s="29"/>
      <c r="G86" s="29">
        <f t="shared" si="91"/>
        <v>14002067</v>
      </c>
      <c r="H86" s="29"/>
      <c r="I86" s="20">
        <f t="shared" si="92"/>
        <v>736952</v>
      </c>
      <c r="J86" s="21">
        <f t="shared" si="93"/>
        <v>736952</v>
      </c>
      <c r="K86" s="29">
        <f t="shared" si="94"/>
        <v>736952</v>
      </c>
      <c r="L86" s="29">
        <v>0</v>
      </c>
      <c r="M86" s="29">
        <v>0</v>
      </c>
      <c r="N86" s="73">
        <v>0</v>
      </c>
      <c r="O86" s="20">
        <f t="shared" si="76"/>
        <v>14739019</v>
      </c>
      <c r="P86" s="29"/>
      <c r="Q86" s="18" t="b">
        <f t="shared" si="89"/>
        <v>1</v>
      </c>
      <c r="R86" t="b">
        <f t="shared" si="90"/>
        <v>1</v>
      </c>
      <c r="S86" t="b">
        <f t="shared" si="66"/>
        <v>1</v>
      </c>
    </row>
    <row r="87" spans="1:20" ht="16.899999999999999" customHeight="1" thickBot="1" x14ac:dyDescent="0.3">
      <c r="A87" s="13" t="s">
        <v>87</v>
      </c>
      <c r="B87" s="17" t="s">
        <v>25</v>
      </c>
      <c r="C87" s="28" t="s">
        <v>32</v>
      </c>
      <c r="D87" s="29">
        <f t="shared" si="74"/>
        <v>14002073</v>
      </c>
      <c r="E87" s="29"/>
      <c r="F87" s="29"/>
      <c r="G87" s="29">
        <f>17665971-3663898</f>
        <v>14002073</v>
      </c>
      <c r="H87" s="29"/>
      <c r="I87" s="20">
        <f t="shared" si="92"/>
        <v>736952</v>
      </c>
      <c r="J87" s="21">
        <f t="shared" si="93"/>
        <v>736952</v>
      </c>
      <c r="K87" s="29">
        <f t="shared" si="94"/>
        <v>736952</v>
      </c>
      <c r="L87" s="29">
        <v>0</v>
      </c>
      <c r="M87" s="29">
        <v>0</v>
      </c>
      <c r="N87" s="73">
        <v>0</v>
      </c>
      <c r="O87" s="20">
        <f t="shared" si="76"/>
        <v>14739025</v>
      </c>
      <c r="P87" s="29"/>
      <c r="Q87" s="18" t="b">
        <f t="shared" si="89"/>
        <v>1</v>
      </c>
      <c r="R87" t="b">
        <f t="shared" si="90"/>
        <v>1</v>
      </c>
      <c r="S87" t="b">
        <f t="shared" si="66"/>
        <v>1</v>
      </c>
    </row>
    <row r="88" spans="1:20" ht="16.899999999999999" customHeight="1" thickBot="1" x14ac:dyDescent="0.3">
      <c r="A88" s="45" t="s">
        <v>88</v>
      </c>
      <c r="B88" s="48" t="s">
        <v>33</v>
      </c>
      <c r="C88" s="74" t="s">
        <v>29</v>
      </c>
      <c r="D88" s="67">
        <f t="shared" si="1"/>
        <v>147330729</v>
      </c>
      <c r="E88" s="67"/>
      <c r="F88" s="67"/>
      <c r="G88" s="67">
        <v>147330729</v>
      </c>
      <c r="H88" s="67"/>
      <c r="I88" s="68">
        <f t="shared" si="92"/>
        <v>25999541</v>
      </c>
      <c r="J88" s="69">
        <f t="shared" si="93"/>
        <v>25999541</v>
      </c>
      <c r="K88" s="67">
        <v>25999541</v>
      </c>
      <c r="L88" s="67">
        <v>0</v>
      </c>
      <c r="M88" s="67">
        <v>0</v>
      </c>
      <c r="N88" s="67">
        <v>0</v>
      </c>
      <c r="O88" s="68">
        <f t="shared" si="3"/>
        <v>173330270</v>
      </c>
      <c r="P88" s="67"/>
      <c r="Q88" s="18" t="b">
        <f t="shared" si="89"/>
        <v>1</v>
      </c>
      <c r="R88" t="b">
        <f t="shared" si="90"/>
        <v>1</v>
      </c>
      <c r="S88" t="b">
        <f t="shared" si="66"/>
        <v>1</v>
      </c>
    </row>
    <row r="89" spans="1:20" ht="16.899999999999999" customHeight="1" thickBot="1" x14ac:dyDescent="0.3">
      <c r="A89" s="46"/>
      <c r="B89" s="49"/>
      <c r="C89" s="66" t="s">
        <v>30</v>
      </c>
      <c r="D89" s="67">
        <f t="shared" si="1"/>
        <v>4329820</v>
      </c>
      <c r="E89" s="68"/>
      <c r="F89" s="68"/>
      <c r="G89" s="68">
        <v>4329820</v>
      </c>
      <c r="H89" s="68"/>
      <c r="I89" s="68">
        <f t="shared" si="92"/>
        <v>4329820</v>
      </c>
      <c r="J89" s="69">
        <f t="shared" si="93"/>
        <v>4329820</v>
      </c>
      <c r="K89" s="68">
        <v>4329820</v>
      </c>
      <c r="L89" s="68">
        <v>0</v>
      </c>
      <c r="M89" s="68">
        <v>0</v>
      </c>
      <c r="N89" s="68">
        <v>0</v>
      </c>
      <c r="O89" s="68">
        <f t="shared" si="3"/>
        <v>8659640</v>
      </c>
      <c r="P89" s="68"/>
      <c r="Q89" s="18" t="b">
        <f t="shared" si="89"/>
        <v>1</v>
      </c>
      <c r="R89" t="b">
        <f t="shared" si="90"/>
        <v>1</v>
      </c>
      <c r="S89" t="b">
        <f t="shared" si="66"/>
        <v>1</v>
      </c>
    </row>
    <row r="90" spans="1:20" ht="16.899999999999999" customHeight="1" thickBot="1" x14ac:dyDescent="0.3">
      <c r="A90" s="46"/>
      <c r="B90" s="49"/>
      <c r="C90" s="66" t="s">
        <v>31</v>
      </c>
      <c r="D90" s="67">
        <f>G90</f>
        <v>8303442</v>
      </c>
      <c r="E90" s="68"/>
      <c r="F90" s="68"/>
      <c r="G90" s="68">
        <v>8303442</v>
      </c>
      <c r="H90" s="68"/>
      <c r="I90" s="68">
        <f t="shared" si="92"/>
        <v>3558618</v>
      </c>
      <c r="J90" s="69">
        <f t="shared" si="93"/>
        <v>3558618</v>
      </c>
      <c r="K90" s="68">
        <v>3558618</v>
      </c>
      <c r="L90" s="68">
        <v>0</v>
      </c>
      <c r="M90" s="68">
        <v>0</v>
      </c>
      <c r="N90" s="68">
        <v>0</v>
      </c>
      <c r="O90" s="68">
        <f t="shared" si="3"/>
        <v>11862060</v>
      </c>
      <c r="P90" s="68"/>
      <c r="Q90" s="18" t="b">
        <f t="shared" si="89"/>
        <v>1</v>
      </c>
      <c r="R90" t="b">
        <f t="shared" si="90"/>
        <v>1</v>
      </c>
      <c r="S90" t="b">
        <f t="shared" si="66"/>
        <v>1</v>
      </c>
    </row>
    <row r="91" spans="1:20" ht="16.899999999999999" customHeight="1" thickBot="1" x14ac:dyDescent="0.3">
      <c r="A91" s="47"/>
      <c r="B91" s="50"/>
      <c r="C91" s="70" t="s">
        <v>32</v>
      </c>
      <c r="D91" s="71">
        <f>D88+D89+D90</f>
        <v>159963991</v>
      </c>
      <c r="E91" s="71">
        <f t="shared" ref="E91:P91" si="95">E88+E89+E90</f>
        <v>0</v>
      </c>
      <c r="F91" s="71">
        <f t="shared" si="95"/>
        <v>0</v>
      </c>
      <c r="G91" s="71">
        <f t="shared" si="95"/>
        <v>159963991</v>
      </c>
      <c r="H91" s="71">
        <f t="shared" si="95"/>
        <v>0</v>
      </c>
      <c r="I91" s="71">
        <f t="shared" si="95"/>
        <v>33887979</v>
      </c>
      <c r="J91" s="71">
        <f t="shared" si="95"/>
        <v>33887979</v>
      </c>
      <c r="K91" s="71">
        <f t="shared" si="95"/>
        <v>33887979</v>
      </c>
      <c r="L91" s="71">
        <f t="shared" si="95"/>
        <v>0</v>
      </c>
      <c r="M91" s="71">
        <f t="shared" si="95"/>
        <v>0</v>
      </c>
      <c r="N91" s="71">
        <f t="shared" si="95"/>
        <v>0</v>
      </c>
      <c r="O91" s="71">
        <f t="shared" si="95"/>
        <v>193851970</v>
      </c>
      <c r="P91" s="71">
        <f t="shared" si="95"/>
        <v>0</v>
      </c>
      <c r="Q91" s="18" t="b">
        <f t="shared" si="89"/>
        <v>1</v>
      </c>
      <c r="R91" t="b">
        <f t="shared" si="90"/>
        <v>1</v>
      </c>
      <c r="S91" t="b">
        <f t="shared" si="66"/>
        <v>1</v>
      </c>
    </row>
    <row r="92" spans="1:20" ht="16.899999999999999" customHeight="1" thickBot="1" x14ac:dyDescent="0.3">
      <c r="A92" s="35" t="s">
        <v>34</v>
      </c>
      <c r="B92" s="35" t="s">
        <v>33</v>
      </c>
      <c r="C92" s="24" t="s">
        <v>29</v>
      </c>
      <c r="D92" s="25">
        <f>G92</f>
        <v>3729319437</v>
      </c>
      <c r="E92" s="25"/>
      <c r="F92" s="25"/>
      <c r="G92" s="25">
        <f>G6+G33+G40+G52+G73+G88</f>
        <v>3729319437</v>
      </c>
      <c r="H92" s="25"/>
      <c r="I92" s="25">
        <f>I6+I33+I40+I52+I73+I88</f>
        <v>640547559</v>
      </c>
      <c r="J92" s="25">
        <f>J6+J33+J40+J52+J73+J88</f>
        <v>607886422</v>
      </c>
      <c r="K92" s="25">
        <f t="shared" ref="K92:M92" si="96">K6+K33+K40+K52+K73+K88</f>
        <v>577987796</v>
      </c>
      <c r="L92" s="25">
        <f t="shared" si="96"/>
        <v>111102</v>
      </c>
      <c r="M92" s="25">
        <f t="shared" si="96"/>
        <v>29787524</v>
      </c>
      <c r="N92" s="25">
        <f>N6+N33+N40+N52+N73+N88</f>
        <v>32661137</v>
      </c>
      <c r="O92" s="25">
        <f>D92+I92</f>
        <v>4369866996</v>
      </c>
      <c r="P92" s="25"/>
      <c r="Q92" s="18" t="b">
        <f t="shared" si="89"/>
        <v>1</v>
      </c>
      <c r="R92" t="b">
        <f t="shared" si="90"/>
        <v>1</v>
      </c>
      <c r="S92" t="b">
        <f t="shared" si="66"/>
        <v>1</v>
      </c>
      <c r="T92" s="23"/>
    </row>
    <row r="93" spans="1:20" ht="16.899999999999999" customHeight="1" thickBot="1" x14ac:dyDescent="0.3">
      <c r="A93" s="36"/>
      <c r="B93" s="36"/>
      <c r="C93" s="24" t="s">
        <v>30</v>
      </c>
      <c r="D93" s="25">
        <f t="shared" ref="D93:D94" si="97">G93</f>
        <v>109598861</v>
      </c>
      <c r="E93" s="25"/>
      <c r="F93" s="25"/>
      <c r="G93" s="25">
        <f>G7+G34+G41+G53+G74+G89</f>
        <v>109598861</v>
      </c>
      <c r="H93" s="25"/>
      <c r="I93" s="25">
        <f t="shared" ref="I93:N93" si="98">I7+I34+I41+I53+I74+I89</f>
        <v>105649278</v>
      </c>
      <c r="J93" s="25">
        <f t="shared" si="98"/>
        <v>100210072</v>
      </c>
      <c r="K93" s="25">
        <f t="shared" si="98"/>
        <v>95230920</v>
      </c>
      <c r="L93" s="25">
        <f t="shared" si="98"/>
        <v>18502</v>
      </c>
      <c r="M93" s="25">
        <f t="shared" si="98"/>
        <v>4960650</v>
      </c>
      <c r="N93" s="25">
        <f t="shared" si="98"/>
        <v>5439206</v>
      </c>
      <c r="O93" s="25">
        <f>D93+I93</f>
        <v>215248139</v>
      </c>
      <c r="P93" s="25"/>
      <c r="Q93" s="18" t="b">
        <f t="shared" si="89"/>
        <v>1</v>
      </c>
      <c r="R93" t="b">
        <f t="shared" si="90"/>
        <v>1</v>
      </c>
      <c r="S93" t="b">
        <f t="shared" si="66"/>
        <v>1</v>
      </c>
      <c r="T93" s="23"/>
    </row>
    <row r="94" spans="1:20" ht="16.899999999999999" customHeight="1" thickBot="1" x14ac:dyDescent="0.3">
      <c r="A94" s="36"/>
      <c r="B94" s="36"/>
      <c r="C94" s="24" t="s">
        <v>31</v>
      </c>
      <c r="D94" s="25">
        <f t="shared" si="97"/>
        <v>210181478</v>
      </c>
      <c r="E94" s="25"/>
      <c r="F94" s="25"/>
      <c r="G94" s="25">
        <f>G8+G35+G42+G54+G75+G90</f>
        <v>210181478</v>
      </c>
      <c r="H94" s="25"/>
      <c r="I94" s="25">
        <f t="shared" ref="I94:N94" si="99">I8+I35+I42+I54+I75+I90</f>
        <v>87072122</v>
      </c>
      <c r="J94" s="25">
        <f t="shared" si="99"/>
        <v>82601715</v>
      </c>
      <c r="K94" s="25">
        <f t="shared" si="99"/>
        <v>78509420</v>
      </c>
      <c r="L94" s="25">
        <f t="shared" si="99"/>
        <v>15206</v>
      </c>
      <c r="M94" s="25">
        <f t="shared" si="99"/>
        <v>4077089</v>
      </c>
      <c r="N94" s="25">
        <f t="shared" si="99"/>
        <v>4470407</v>
      </c>
      <c r="O94" s="25">
        <f>D94+I94</f>
        <v>297253600</v>
      </c>
      <c r="P94" s="25"/>
      <c r="Q94" s="18" t="b">
        <f t="shared" si="89"/>
        <v>1</v>
      </c>
      <c r="R94" t="b">
        <f t="shared" si="90"/>
        <v>1</v>
      </c>
      <c r="S94" t="b">
        <f t="shared" si="66"/>
        <v>1</v>
      </c>
      <c r="T94" s="23"/>
    </row>
    <row r="95" spans="1:20" ht="16.899999999999999" customHeight="1" thickBot="1" x14ac:dyDescent="0.3">
      <c r="A95" s="37"/>
      <c r="B95" s="38"/>
      <c r="C95" s="26" t="s">
        <v>32</v>
      </c>
      <c r="D95" s="27">
        <f>D92+D93+D94</f>
        <v>4049099776</v>
      </c>
      <c r="E95" s="27">
        <f t="shared" ref="E95:P95" si="100">E92+E93+E94</f>
        <v>0</v>
      </c>
      <c r="F95" s="27">
        <f t="shared" si="100"/>
        <v>0</v>
      </c>
      <c r="G95" s="27">
        <f t="shared" si="100"/>
        <v>4049099776</v>
      </c>
      <c r="H95" s="27">
        <f t="shared" si="100"/>
        <v>0</v>
      </c>
      <c r="I95" s="27">
        <f t="shared" si="100"/>
        <v>833268959</v>
      </c>
      <c r="J95" s="27">
        <f>J92+J93+J94</f>
        <v>790698209</v>
      </c>
      <c r="K95" s="27">
        <f t="shared" si="100"/>
        <v>751728136</v>
      </c>
      <c r="L95" s="27">
        <f t="shared" si="100"/>
        <v>144810</v>
      </c>
      <c r="M95" s="27">
        <f t="shared" si="100"/>
        <v>38825263</v>
      </c>
      <c r="N95" s="27">
        <f t="shared" si="100"/>
        <v>42570750</v>
      </c>
      <c r="O95" s="27">
        <f t="shared" si="100"/>
        <v>4882368735</v>
      </c>
      <c r="P95" s="27">
        <f t="shared" si="100"/>
        <v>0</v>
      </c>
      <c r="Q95" s="18" t="b">
        <f t="shared" si="89"/>
        <v>1</v>
      </c>
      <c r="R95" t="b">
        <f t="shared" si="90"/>
        <v>1</v>
      </c>
      <c r="S95" t="b">
        <f t="shared" si="66"/>
        <v>1</v>
      </c>
    </row>
    <row r="96" spans="1:20" ht="15.75" x14ac:dyDescent="0.25">
      <c r="A96" s="8"/>
    </row>
    <row r="97" spans="1:9" x14ac:dyDescent="0.25">
      <c r="A97" s="7"/>
      <c r="I97" s="19"/>
    </row>
    <row r="98" spans="1:9" x14ac:dyDescent="0.25">
      <c r="A98" s="7" t="s">
        <v>35</v>
      </c>
      <c r="I98" s="19"/>
    </row>
    <row r="99" spans="1:9" ht="15.75" x14ac:dyDescent="0.25">
      <c r="A99" s="6" t="s">
        <v>36</v>
      </c>
      <c r="I99" s="19"/>
    </row>
  </sheetData>
  <mergeCells count="22">
    <mergeCell ref="P2:P3"/>
    <mergeCell ref="B6:B9"/>
    <mergeCell ref="D2:H2"/>
    <mergeCell ref="J2:M2"/>
    <mergeCell ref="N2:N3"/>
    <mergeCell ref="O2:O3"/>
    <mergeCell ref="A92:A95"/>
    <mergeCell ref="B92:B95"/>
    <mergeCell ref="C2:C5"/>
    <mergeCell ref="B2:B5"/>
    <mergeCell ref="A2:A5"/>
    <mergeCell ref="A33:A36"/>
    <mergeCell ref="B33:B36"/>
    <mergeCell ref="A40:A43"/>
    <mergeCell ref="B40:B43"/>
    <mergeCell ref="A52:A55"/>
    <mergeCell ref="A88:A91"/>
    <mergeCell ref="B88:B91"/>
    <mergeCell ref="B52:B55"/>
    <mergeCell ref="A73:A76"/>
    <mergeCell ref="B73:B76"/>
    <mergeCell ref="A6:A9"/>
  </mergeCells>
  <pageMargins left="0.25" right="0.25" top="0.75" bottom="0.75" header="0.3" footer="0.3"/>
  <pageSetup paperSize="8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D19D-32FD-4AE3-9BAE-3AC3CE08459A}">
  <dimension ref="A1:K122"/>
  <sheetViews>
    <sheetView zoomScale="85" zoomScaleNormal="85" workbookViewId="0">
      <pane ySplit="3" topLeftCell="A4" activePane="bottomLeft" state="frozen"/>
      <selection activeCell="L25" sqref="L25"/>
      <selection pane="bottomLeft" activeCell="J107" sqref="J107"/>
    </sheetView>
  </sheetViews>
  <sheetFormatPr defaultColWidth="29.28515625" defaultRowHeight="15" x14ac:dyDescent="0.2"/>
  <cols>
    <col min="1" max="6" width="29.28515625" style="6"/>
    <col min="7" max="8" width="0" style="6" hidden="1" customWidth="1"/>
    <col min="9" max="16384" width="29.28515625" style="6"/>
  </cols>
  <sheetData>
    <row r="1" spans="1:7" ht="16.5" thickBot="1" x14ac:dyDescent="0.25">
      <c r="A1" s="1" t="s">
        <v>89</v>
      </c>
    </row>
    <row r="2" spans="1:7" ht="15.75" x14ac:dyDescent="0.2">
      <c r="A2" s="12" t="s">
        <v>90</v>
      </c>
      <c r="B2" s="15" t="s">
        <v>92</v>
      </c>
      <c r="C2" s="15" t="s">
        <v>93</v>
      </c>
      <c r="D2" s="15" t="s">
        <v>94</v>
      </c>
      <c r="E2" s="15" t="s">
        <v>95</v>
      </c>
      <c r="F2" s="42" t="s">
        <v>97</v>
      </c>
    </row>
    <row r="3" spans="1:7" ht="16.5" thickBot="1" x14ac:dyDescent="0.25">
      <c r="A3" s="14" t="s">
        <v>91</v>
      </c>
      <c r="B3" s="5" t="s">
        <v>91</v>
      </c>
      <c r="C3" s="5" t="s">
        <v>91</v>
      </c>
      <c r="D3" s="5" t="s">
        <v>91</v>
      </c>
      <c r="E3" s="5" t="s">
        <v>96</v>
      </c>
      <c r="F3" s="62"/>
    </row>
    <row r="4" spans="1:7" x14ac:dyDescent="0.2">
      <c r="A4" s="64" t="s">
        <v>43</v>
      </c>
      <c r="B4" s="64" t="s">
        <v>98</v>
      </c>
      <c r="C4" s="75" t="s">
        <v>45</v>
      </c>
      <c r="D4" s="76" t="s">
        <v>15</v>
      </c>
      <c r="E4" s="77">
        <v>134</v>
      </c>
      <c r="F4" s="78">
        <v>1185459</v>
      </c>
    </row>
    <row r="5" spans="1:7" x14ac:dyDescent="0.2">
      <c r="A5" s="64"/>
      <c r="B5" s="64"/>
      <c r="C5" s="79"/>
      <c r="D5" s="80"/>
      <c r="E5" s="77">
        <v>135</v>
      </c>
      <c r="F5" s="78">
        <v>1185459</v>
      </c>
    </row>
    <row r="6" spans="1:7" x14ac:dyDescent="0.2">
      <c r="A6" s="64"/>
      <c r="B6" s="64"/>
      <c r="C6" s="79"/>
      <c r="D6" s="80"/>
      <c r="E6" s="77">
        <v>136</v>
      </c>
      <c r="F6" s="78">
        <v>1185459</v>
      </c>
    </row>
    <row r="7" spans="1:7" x14ac:dyDescent="0.2">
      <c r="A7" s="64"/>
      <c r="B7" s="64"/>
      <c r="C7" s="79"/>
      <c r="D7" s="80"/>
      <c r="E7" s="77">
        <v>137</v>
      </c>
      <c r="F7" s="78">
        <v>1185459</v>
      </c>
    </row>
    <row r="8" spans="1:7" x14ac:dyDescent="0.2">
      <c r="A8" s="64"/>
      <c r="B8" s="64"/>
      <c r="C8" s="79"/>
      <c r="D8" s="80"/>
      <c r="E8" s="77">
        <v>138</v>
      </c>
      <c r="F8" s="78">
        <v>1185460</v>
      </c>
    </row>
    <row r="9" spans="1:7" x14ac:dyDescent="0.2">
      <c r="A9" s="64"/>
      <c r="B9" s="64"/>
      <c r="C9" s="79"/>
      <c r="D9" s="81"/>
      <c r="E9" s="77">
        <v>153</v>
      </c>
      <c r="F9" s="78">
        <v>1185460</v>
      </c>
      <c r="G9" s="16"/>
    </row>
    <row r="10" spans="1:7" x14ac:dyDescent="0.2">
      <c r="A10" s="64"/>
      <c r="B10" s="64"/>
      <c r="C10" s="79"/>
      <c r="D10" s="77" t="s">
        <v>39</v>
      </c>
      <c r="E10" s="77">
        <v>139</v>
      </c>
      <c r="F10" s="78">
        <v>1185460</v>
      </c>
      <c r="G10" s="16"/>
    </row>
    <row r="11" spans="1:7" x14ac:dyDescent="0.2">
      <c r="A11" s="64"/>
      <c r="B11" s="64"/>
      <c r="C11" s="79"/>
      <c r="D11" s="76" t="s">
        <v>16</v>
      </c>
      <c r="E11" s="77">
        <v>142</v>
      </c>
      <c r="F11" s="78">
        <v>1185461</v>
      </c>
      <c r="G11" s="16"/>
    </row>
    <row r="12" spans="1:7" x14ac:dyDescent="0.2">
      <c r="A12" s="64"/>
      <c r="B12" s="64"/>
      <c r="C12" s="79"/>
      <c r="D12" s="81"/>
      <c r="E12" s="77">
        <v>143</v>
      </c>
      <c r="F12" s="78">
        <v>1185461</v>
      </c>
    </row>
    <row r="13" spans="1:7" x14ac:dyDescent="0.2">
      <c r="A13" s="64"/>
      <c r="B13" s="64"/>
      <c r="C13" s="79"/>
      <c r="D13" s="76" t="s">
        <v>17</v>
      </c>
      <c r="E13" s="77">
        <v>144</v>
      </c>
      <c r="F13" s="78">
        <v>1185461</v>
      </c>
      <c r="G13" s="16"/>
    </row>
    <row r="14" spans="1:7" x14ac:dyDescent="0.2">
      <c r="A14" s="64"/>
      <c r="B14" s="64"/>
      <c r="C14" s="79"/>
      <c r="D14" s="80"/>
      <c r="E14" s="77">
        <v>146</v>
      </c>
      <c r="F14" s="78">
        <v>1185461</v>
      </c>
    </row>
    <row r="15" spans="1:7" x14ac:dyDescent="0.2">
      <c r="A15" s="64"/>
      <c r="B15" s="64"/>
      <c r="C15" s="79"/>
      <c r="D15" s="81"/>
      <c r="E15" s="77">
        <v>147</v>
      </c>
      <c r="F15" s="78">
        <v>1185461</v>
      </c>
    </row>
    <row r="16" spans="1:7" x14ac:dyDescent="0.2">
      <c r="A16" s="64"/>
      <c r="B16" s="64"/>
      <c r="C16" s="79"/>
      <c r="D16" s="77" t="s">
        <v>18</v>
      </c>
      <c r="E16" s="77">
        <v>151</v>
      </c>
      <c r="F16" s="78">
        <v>1185460</v>
      </c>
      <c r="G16" s="16"/>
    </row>
    <row r="17" spans="1:7" x14ac:dyDescent="0.2">
      <c r="A17" s="64"/>
      <c r="B17" s="64"/>
      <c r="C17" s="79"/>
      <c r="D17" s="76" t="s">
        <v>19</v>
      </c>
      <c r="E17" s="77">
        <v>148</v>
      </c>
      <c r="F17" s="78">
        <v>1185461</v>
      </c>
      <c r="G17" s="16"/>
    </row>
    <row r="18" spans="1:7" x14ac:dyDescent="0.2">
      <c r="A18" s="64"/>
      <c r="B18" s="64"/>
      <c r="C18" s="79"/>
      <c r="D18" s="80"/>
      <c r="E18" s="77">
        <v>149</v>
      </c>
      <c r="F18" s="78">
        <v>1185461</v>
      </c>
    </row>
    <row r="19" spans="1:7" x14ac:dyDescent="0.2">
      <c r="A19" s="64"/>
      <c r="B19" s="64"/>
      <c r="C19" s="79"/>
      <c r="D19" s="81"/>
      <c r="E19" s="77">
        <v>150</v>
      </c>
      <c r="F19" s="78">
        <v>1185461</v>
      </c>
    </row>
    <row r="20" spans="1:7" x14ac:dyDescent="0.2">
      <c r="A20" s="64"/>
      <c r="B20" s="64"/>
      <c r="C20" s="79"/>
      <c r="D20" s="76" t="s">
        <v>20</v>
      </c>
      <c r="E20" s="77">
        <v>140</v>
      </c>
      <c r="F20" s="78">
        <v>1185461</v>
      </c>
      <c r="G20" s="16"/>
    </row>
    <row r="21" spans="1:7" x14ac:dyDescent="0.2">
      <c r="A21" s="64"/>
      <c r="B21" s="64"/>
      <c r="C21" s="79"/>
      <c r="D21" s="80"/>
      <c r="E21" s="77">
        <v>141</v>
      </c>
      <c r="F21" s="78">
        <v>1185461</v>
      </c>
    </row>
    <row r="22" spans="1:7" x14ac:dyDescent="0.2">
      <c r="A22" s="64"/>
      <c r="B22" s="64"/>
      <c r="C22" s="79"/>
      <c r="D22" s="81"/>
      <c r="E22" s="77">
        <v>145</v>
      </c>
      <c r="F22" s="78">
        <v>1185461</v>
      </c>
    </row>
    <row r="23" spans="1:7" x14ac:dyDescent="0.2">
      <c r="A23" s="64"/>
      <c r="B23" s="64"/>
      <c r="C23" s="79"/>
      <c r="D23" s="77" t="s">
        <v>21</v>
      </c>
      <c r="E23" s="77">
        <v>152</v>
      </c>
      <c r="F23" s="78">
        <v>1185460</v>
      </c>
      <c r="G23" s="16"/>
    </row>
    <row r="24" spans="1:7" x14ac:dyDescent="0.2">
      <c r="A24" s="64"/>
      <c r="B24" s="64"/>
      <c r="C24" s="79"/>
      <c r="D24" s="76" t="s">
        <v>22</v>
      </c>
      <c r="E24" s="77">
        <v>156</v>
      </c>
      <c r="F24" s="78">
        <v>1185460</v>
      </c>
      <c r="G24" s="16"/>
    </row>
    <row r="25" spans="1:7" x14ac:dyDescent="0.2">
      <c r="A25" s="64"/>
      <c r="B25" s="64"/>
      <c r="C25" s="79"/>
      <c r="D25" s="81"/>
      <c r="E25" s="77">
        <v>157</v>
      </c>
      <c r="F25" s="78">
        <v>1185460</v>
      </c>
    </row>
    <row r="26" spans="1:7" x14ac:dyDescent="0.2">
      <c r="A26" s="64"/>
      <c r="B26" s="64"/>
      <c r="C26" s="79"/>
      <c r="D26" s="76" t="s">
        <v>24</v>
      </c>
      <c r="E26" s="77">
        <v>158</v>
      </c>
      <c r="F26" s="78">
        <v>1185460</v>
      </c>
      <c r="G26" s="16"/>
    </row>
    <row r="27" spans="1:7" x14ac:dyDescent="0.2">
      <c r="A27" s="64"/>
      <c r="B27" s="64"/>
      <c r="C27" s="79"/>
      <c r="D27" s="80"/>
      <c r="E27" s="77">
        <v>159</v>
      </c>
      <c r="F27" s="78">
        <v>1185460</v>
      </c>
    </row>
    <row r="28" spans="1:7" x14ac:dyDescent="0.2">
      <c r="A28" s="64"/>
      <c r="B28" s="64"/>
      <c r="C28" s="79"/>
      <c r="D28" s="80"/>
      <c r="E28" s="77">
        <v>160</v>
      </c>
      <c r="F28" s="78">
        <v>1185460</v>
      </c>
    </row>
    <row r="29" spans="1:7" x14ac:dyDescent="0.2">
      <c r="A29" s="64"/>
      <c r="B29" s="64"/>
      <c r="C29" s="79"/>
      <c r="D29" s="80"/>
      <c r="E29" s="77">
        <v>161</v>
      </c>
      <c r="F29" s="78">
        <v>1185460</v>
      </c>
    </row>
    <row r="30" spans="1:7" x14ac:dyDescent="0.2">
      <c r="A30" s="64"/>
      <c r="B30" s="64"/>
      <c r="C30" s="79"/>
      <c r="D30" s="81"/>
      <c r="E30" s="77">
        <v>162</v>
      </c>
      <c r="F30" s="78">
        <v>1185460</v>
      </c>
    </row>
    <row r="31" spans="1:7" x14ac:dyDescent="0.2">
      <c r="A31" s="64"/>
      <c r="B31" s="64"/>
      <c r="C31" s="82"/>
      <c r="D31" s="77" t="s">
        <v>25</v>
      </c>
      <c r="E31" s="77">
        <v>163</v>
      </c>
      <c r="F31" s="78">
        <v>1185460</v>
      </c>
      <c r="G31" s="16"/>
    </row>
    <row r="32" spans="1:7" x14ac:dyDescent="0.2">
      <c r="A32" s="59"/>
      <c r="B32" s="59"/>
      <c r="C32" s="60" t="s">
        <v>44</v>
      </c>
      <c r="D32" s="83" t="s">
        <v>39</v>
      </c>
      <c r="E32" s="31">
        <v>137</v>
      </c>
      <c r="F32" s="32">
        <v>927176</v>
      </c>
    </row>
    <row r="33" spans="1:7" x14ac:dyDescent="0.2">
      <c r="A33" s="59"/>
      <c r="B33" s="59"/>
      <c r="C33" s="60"/>
      <c r="D33" s="83"/>
      <c r="E33" s="31">
        <v>139</v>
      </c>
      <c r="F33" s="32">
        <v>10847955</v>
      </c>
    </row>
    <row r="34" spans="1:7" x14ac:dyDescent="0.2">
      <c r="A34" s="59"/>
      <c r="B34" s="59"/>
      <c r="C34" s="84" t="s">
        <v>46</v>
      </c>
      <c r="D34" s="31" t="s">
        <v>17</v>
      </c>
      <c r="E34" s="31">
        <v>146</v>
      </c>
      <c r="F34" s="32">
        <v>226655003</v>
      </c>
    </row>
    <row r="35" spans="1:7" x14ac:dyDescent="0.2">
      <c r="A35" s="59"/>
      <c r="B35" s="59"/>
      <c r="C35" s="84" t="s">
        <v>47</v>
      </c>
      <c r="D35" s="31" t="s">
        <v>18</v>
      </c>
      <c r="E35" s="31">
        <v>149</v>
      </c>
      <c r="F35" s="32">
        <v>172972959</v>
      </c>
    </row>
    <row r="36" spans="1:7" x14ac:dyDescent="0.2">
      <c r="A36" s="59"/>
      <c r="B36" s="59"/>
      <c r="C36" s="84" t="s">
        <v>48</v>
      </c>
      <c r="D36" s="31" t="s">
        <v>18</v>
      </c>
      <c r="E36" s="31">
        <v>150</v>
      </c>
      <c r="F36" s="32">
        <v>447825828</v>
      </c>
    </row>
    <row r="37" spans="1:7" x14ac:dyDescent="0.2">
      <c r="A37" s="59"/>
      <c r="B37" s="59"/>
      <c r="C37" s="84" t="s">
        <v>49</v>
      </c>
      <c r="D37" s="31" t="s">
        <v>19</v>
      </c>
      <c r="E37" s="31">
        <v>149</v>
      </c>
      <c r="F37" s="32">
        <v>78216460</v>
      </c>
    </row>
    <row r="38" spans="1:7" x14ac:dyDescent="0.2">
      <c r="A38" s="59"/>
      <c r="B38" s="59"/>
      <c r="C38" s="60" t="s">
        <v>50</v>
      </c>
      <c r="D38" s="83" t="s">
        <v>19</v>
      </c>
      <c r="E38" s="31">
        <v>149</v>
      </c>
      <c r="F38" s="32">
        <v>99300510</v>
      </c>
    </row>
    <row r="39" spans="1:7" x14ac:dyDescent="0.2">
      <c r="A39" s="59"/>
      <c r="B39" s="59"/>
      <c r="C39" s="60"/>
      <c r="D39" s="83"/>
      <c r="E39" s="31">
        <v>150</v>
      </c>
      <c r="F39" s="32">
        <v>17523619</v>
      </c>
    </row>
    <row r="40" spans="1:7" x14ac:dyDescent="0.2">
      <c r="A40" s="59"/>
      <c r="B40" s="59"/>
      <c r="C40" s="60"/>
      <c r="D40" s="83"/>
      <c r="E40" s="31">
        <v>152</v>
      </c>
      <c r="F40" s="32">
        <v>12980459</v>
      </c>
    </row>
    <row r="41" spans="1:7" x14ac:dyDescent="0.2">
      <c r="A41" s="59"/>
      <c r="B41" s="59"/>
      <c r="C41" s="84" t="s">
        <v>51</v>
      </c>
      <c r="D41" s="31" t="s">
        <v>20</v>
      </c>
      <c r="E41" s="31">
        <v>151</v>
      </c>
      <c r="F41" s="32">
        <v>35047239</v>
      </c>
    </row>
    <row r="42" spans="1:7" x14ac:dyDescent="0.2">
      <c r="A42" s="59"/>
      <c r="B42" s="59"/>
      <c r="C42" s="84" t="s">
        <v>52</v>
      </c>
      <c r="D42" s="31" t="s">
        <v>20</v>
      </c>
      <c r="E42" s="31">
        <v>145</v>
      </c>
      <c r="F42" s="32">
        <v>193923511</v>
      </c>
    </row>
    <row r="43" spans="1:7" x14ac:dyDescent="0.2">
      <c r="A43" s="59"/>
      <c r="B43" s="59"/>
      <c r="C43" s="84" t="s">
        <v>53</v>
      </c>
      <c r="D43" s="31" t="s">
        <v>20</v>
      </c>
      <c r="E43" s="31">
        <v>146</v>
      </c>
      <c r="F43" s="32">
        <v>28093447</v>
      </c>
    </row>
    <row r="44" spans="1:7" x14ac:dyDescent="0.2">
      <c r="A44" s="59"/>
      <c r="B44" s="59"/>
      <c r="C44" s="84" t="s">
        <v>54</v>
      </c>
      <c r="D44" s="31" t="s">
        <v>20</v>
      </c>
      <c r="E44" s="31">
        <v>151</v>
      </c>
      <c r="F44" s="32">
        <v>43750636</v>
      </c>
    </row>
    <row r="45" spans="1:7" x14ac:dyDescent="0.2">
      <c r="A45" s="59"/>
      <c r="B45" s="59"/>
      <c r="C45" s="84" t="s">
        <v>55</v>
      </c>
      <c r="D45" s="31" t="s">
        <v>20</v>
      </c>
      <c r="E45" s="31">
        <v>151</v>
      </c>
      <c r="F45" s="32">
        <v>110593509</v>
      </c>
    </row>
    <row r="46" spans="1:7" ht="15.75" thickBot="1" x14ac:dyDescent="0.25">
      <c r="A46" s="65"/>
      <c r="B46" s="65"/>
      <c r="C46" s="85" t="s">
        <v>56</v>
      </c>
      <c r="D46" s="86" t="s">
        <v>20</v>
      </c>
      <c r="E46" s="86">
        <v>151</v>
      </c>
      <c r="F46" s="87">
        <v>138551191</v>
      </c>
      <c r="G46" s="16">
        <f>SUM(F4:F46)</f>
        <v>1650402389</v>
      </c>
    </row>
    <row r="47" spans="1:7" x14ac:dyDescent="0.2">
      <c r="A47" s="58" t="s">
        <v>57</v>
      </c>
      <c r="B47" s="58" t="s">
        <v>98</v>
      </c>
      <c r="C47" s="88" t="s">
        <v>58</v>
      </c>
      <c r="D47" s="89" t="s">
        <v>16</v>
      </c>
      <c r="E47" s="89">
        <v>143</v>
      </c>
      <c r="F47" s="90">
        <v>704273643</v>
      </c>
    </row>
    <row r="48" spans="1:7" x14ac:dyDescent="0.2">
      <c r="A48" s="57"/>
      <c r="B48" s="57"/>
      <c r="C48" s="84" t="s">
        <v>59</v>
      </c>
      <c r="D48" s="31" t="s">
        <v>16</v>
      </c>
      <c r="E48" s="31">
        <v>143</v>
      </c>
      <c r="F48" s="32">
        <v>5763324</v>
      </c>
    </row>
    <row r="49" spans="1:11" x14ac:dyDescent="0.2">
      <c r="A49" s="57"/>
      <c r="B49" s="57"/>
      <c r="C49" s="60" t="s">
        <v>60</v>
      </c>
      <c r="D49" s="83" t="s">
        <v>16</v>
      </c>
      <c r="E49" s="31">
        <v>142</v>
      </c>
      <c r="F49" s="32">
        <v>7413697</v>
      </c>
    </row>
    <row r="50" spans="1:11" ht="16.149999999999999" customHeight="1" thickBot="1" x14ac:dyDescent="0.25">
      <c r="A50" s="61"/>
      <c r="B50" s="61"/>
      <c r="C50" s="91"/>
      <c r="D50" s="92"/>
      <c r="E50" s="86">
        <v>152</v>
      </c>
      <c r="F50" s="87">
        <v>5284901</v>
      </c>
      <c r="G50" s="16">
        <f>SUM(F47:F50)</f>
        <v>722735565</v>
      </c>
    </row>
    <row r="51" spans="1:11" ht="16.149999999999999" customHeight="1" x14ac:dyDescent="0.2">
      <c r="A51" s="58" t="s">
        <v>61</v>
      </c>
      <c r="B51" s="58" t="s">
        <v>98</v>
      </c>
      <c r="C51" s="93" t="s">
        <v>62</v>
      </c>
      <c r="D51" s="94" t="s">
        <v>19</v>
      </c>
      <c r="E51" s="89">
        <v>152</v>
      </c>
      <c r="F51" s="90">
        <v>148348101</v>
      </c>
    </row>
    <row r="52" spans="1:11" ht="16.149999999999999" customHeight="1" x14ac:dyDescent="0.2">
      <c r="A52" s="57"/>
      <c r="B52" s="57"/>
      <c r="C52" s="34" t="s">
        <v>63</v>
      </c>
      <c r="D52" s="30" t="s">
        <v>21</v>
      </c>
      <c r="E52" s="31">
        <v>152</v>
      </c>
      <c r="F52" s="32">
        <v>14593980</v>
      </c>
    </row>
    <row r="53" spans="1:11" ht="16.149999999999999" customHeight="1" x14ac:dyDescent="0.2">
      <c r="A53" s="57"/>
      <c r="B53" s="57"/>
      <c r="C53" s="60" t="s">
        <v>64</v>
      </c>
      <c r="D53" s="30" t="s">
        <v>21</v>
      </c>
      <c r="E53" s="31">
        <v>152</v>
      </c>
      <c r="F53" s="32">
        <f>51921835</f>
        <v>51921835</v>
      </c>
    </row>
    <row r="54" spans="1:11" ht="16.149999999999999" customHeight="1" x14ac:dyDescent="0.2">
      <c r="A54" s="57"/>
      <c r="B54" s="57"/>
      <c r="C54" s="60"/>
      <c r="D54" s="30" t="s">
        <v>24</v>
      </c>
      <c r="E54" s="31">
        <v>162</v>
      </c>
      <c r="F54" s="32">
        <f>39660669-9271756</f>
        <v>30388913</v>
      </c>
      <c r="K54" s="16"/>
    </row>
    <row r="55" spans="1:11" ht="16.149999999999999" customHeight="1" x14ac:dyDescent="0.2">
      <c r="A55" s="57"/>
      <c r="B55" s="57"/>
      <c r="C55" s="60" t="s">
        <v>65</v>
      </c>
      <c r="D55" s="83" t="s">
        <v>21</v>
      </c>
      <c r="E55" s="31">
        <v>153</v>
      </c>
      <c r="F55" s="32">
        <f>129804588-12980459</f>
        <v>116824129</v>
      </c>
      <c r="K55" s="16"/>
    </row>
    <row r="56" spans="1:11" ht="16.149999999999999" customHeight="1" x14ac:dyDescent="0.2">
      <c r="A56" s="57"/>
      <c r="B56" s="57"/>
      <c r="C56" s="60"/>
      <c r="D56" s="83"/>
      <c r="E56" s="31">
        <v>162</v>
      </c>
      <c r="F56" s="32">
        <v>176163369</v>
      </c>
    </row>
    <row r="57" spans="1:11" ht="16.149999999999999" customHeight="1" x14ac:dyDescent="0.2">
      <c r="A57" s="57"/>
      <c r="B57" s="57"/>
      <c r="C57" s="34" t="s">
        <v>66</v>
      </c>
      <c r="D57" s="30" t="s">
        <v>21</v>
      </c>
      <c r="E57" s="31">
        <v>152</v>
      </c>
      <c r="F57" s="32">
        <f>46358781-5563054</f>
        <v>40795727</v>
      </c>
    </row>
    <row r="58" spans="1:11" ht="16.149999999999999" customHeight="1" x14ac:dyDescent="0.2">
      <c r="A58" s="57"/>
      <c r="B58" s="57"/>
      <c r="C58" s="34" t="s">
        <v>67</v>
      </c>
      <c r="D58" s="30" t="s">
        <v>24</v>
      </c>
      <c r="E58" s="31">
        <v>158</v>
      </c>
      <c r="F58" s="32">
        <v>13907635</v>
      </c>
    </row>
    <row r="59" spans="1:11" ht="16.149999999999999" customHeight="1" thickBot="1" x14ac:dyDescent="0.25">
      <c r="A59" s="61"/>
      <c r="B59" s="61"/>
      <c r="C59" s="95" t="s">
        <v>68</v>
      </c>
      <c r="D59" s="96" t="s">
        <v>24</v>
      </c>
      <c r="E59" s="86">
        <v>160</v>
      </c>
      <c r="F59" s="87">
        <v>72076222</v>
      </c>
      <c r="G59" s="16">
        <f>SUM(F51:F59)</f>
        <v>665019911</v>
      </c>
    </row>
    <row r="60" spans="1:11" ht="16.149999999999999" customHeight="1" x14ac:dyDescent="0.2">
      <c r="A60" s="58" t="s">
        <v>69</v>
      </c>
      <c r="B60" s="58" t="s">
        <v>98</v>
      </c>
      <c r="C60" s="93" t="s">
        <v>70</v>
      </c>
      <c r="D60" s="94" t="s">
        <v>99</v>
      </c>
      <c r="E60" s="89">
        <v>137</v>
      </c>
      <c r="F60" s="90">
        <v>124983275</v>
      </c>
    </row>
    <row r="61" spans="1:11" ht="16.149999999999999" customHeight="1" x14ac:dyDescent="0.2">
      <c r="A61" s="57"/>
      <c r="B61" s="57"/>
      <c r="C61" s="34" t="s">
        <v>71</v>
      </c>
      <c r="D61" s="30" t="s">
        <v>16</v>
      </c>
      <c r="E61" s="31">
        <v>143</v>
      </c>
      <c r="F61" s="32">
        <v>4450443</v>
      </c>
    </row>
    <row r="62" spans="1:11" ht="16.149999999999999" customHeight="1" x14ac:dyDescent="0.2">
      <c r="A62" s="57"/>
      <c r="B62" s="57"/>
      <c r="C62" s="60" t="s">
        <v>72</v>
      </c>
      <c r="D62" s="83" t="s">
        <v>17</v>
      </c>
      <c r="E62" s="31">
        <v>144</v>
      </c>
      <c r="F62" s="32">
        <v>9086322</v>
      </c>
    </row>
    <row r="63" spans="1:11" ht="16.149999999999999" customHeight="1" x14ac:dyDescent="0.2">
      <c r="A63" s="57"/>
      <c r="B63" s="57"/>
      <c r="C63" s="60"/>
      <c r="D63" s="83"/>
      <c r="E63" s="31">
        <v>146</v>
      </c>
      <c r="F63" s="32">
        <v>30550437</v>
      </c>
    </row>
    <row r="64" spans="1:11" ht="16.149999999999999" customHeight="1" x14ac:dyDescent="0.2">
      <c r="A64" s="57"/>
      <c r="B64" s="57"/>
      <c r="C64" s="34" t="s">
        <v>73</v>
      </c>
      <c r="D64" s="30" t="s">
        <v>18</v>
      </c>
      <c r="E64" s="31">
        <v>149</v>
      </c>
      <c r="F64" s="32">
        <v>1909982</v>
      </c>
    </row>
    <row r="65" spans="1:6" ht="16.149999999999999" customHeight="1" x14ac:dyDescent="0.2">
      <c r="A65" s="57"/>
      <c r="B65" s="57"/>
      <c r="C65" s="60" t="s">
        <v>74</v>
      </c>
      <c r="D65" s="83" t="s">
        <v>20</v>
      </c>
      <c r="E65" s="31">
        <v>145</v>
      </c>
      <c r="F65" s="32">
        <v>2225221</v>
      </c>
    </row>
    <row r="66" spans="1:6" ht="16.149999999999999" customHeight="1" x14ac:dyDescent="0.2">
      <c r="A66" s="57"/>
      <c r="B66" s="57"/>
      <c r="C66" s="60"/>
      <c r="D66" s="83"/>
      <c r="E66" s="31">
        <v>151</v>
      </c>
      <c r="F66" s="32">
        <v>2280852</v>
      </c>
    </row>
    <row r="67" spans="1:6" ht="16.149999999999999" customHeight="1" x14ac:dyDescent="0.2">
      <c r="A67" s="57"/>
      <c r="B67" s="57"/>
      <c r="C67" s="34" t="s">
        <v>75</v>
      </c>
      <c r="D67" s="30" t="s">
        <v>20</v>
      </c>
      <c r="E67" s="31">
        <v>151</v>
      </c>
      <c r="F67" s="32">
        <v>13061165</v>
      </c>
    </row>
    <row r="68" spans="1:6" ht="16.149999999999999" customHeight="1" x14ac:dyDescent="0.2">
      <c r="A68" s="57"/>
      <c r="B68" s="57"/>
      <c r="C68" s="34" t="s">
        <v>76</v>
      </c>
      <c r="D68" s="30" t="s">
        <v>21</v>
      </c>
      <c r="E68" s="31">
        <v>152</v>
      </c>
      <c r="F68" s="32">
        <v>7046535</v>
      </c>
    </row>
    <row r="69" spans="1:6" ht="16.149999999999999" customHeight="1" x14ac:dyDescent="0.2">
      <c r="A69" s="57"/>
      <c r="B69" s="57"/>
      <c r="C69" s="34" t="s">
        <v>77</v>
      </c>
      <c r="D69" s="30" t="s">
        <v>21</v>
      </c>
      <c r="E69" s="31">
        <v>153</v>
      </c>
      <c r="F69" s="32">
        <v>35431090</v>
      </c>
    </row>
    <row r="70" spans="1:6" ht="16.149999999999999" customHeight="1" x14ac:dyDescent="0.2">
      <c r="A70" s="57"/>
      <c r="B70" s="57"/>
      <c r="C70" s="34" t="s">
        <v>78</v>
      </c>
      <c r="D70" s="30" t="s">
        <v>21</v>
      </c>
      <c r="E70" s="31">
        <v>138</v>
      </c>
      <c r="F70" s="32">
        <v>33467331</v>
      </c>
    </row>
    <row r="71" spans="1:6" ht="16.149999999999999" customHeight="1" x14ac:dyDescent="0.2">
      <c r="A71" s="57"/>
      <c r="B71" s="57"/>
      <c r="C71" s="34" t="s">
        <v>79</v>
      </c>
      <c r="D71" s="30" t="s">
        <v>22</v>
      </c>
      <c r="E71" s="31">
        <v>156</v>
      </c>
      <c r="F71" s="32">
        <v>5377619</v>
      </c>
    </row>
    <row r="72" spans="1:6" ht="16.149999999999999" customHeight="1" x14ac:dyDescent="0.2">
      <c r="A72" s="57"/>
      <c r="B72" s="57"/>
      <c r="C72" s="34" t="s">
        <v>80</v>
      </c>
      <c r="D72" s="30" t="s">
        <v>22</v>
      </c>
      <c r="E72" s="31">
        <v>156</v>
      </c>
      <c r="F72" s="32">
        <v>4821314</v>
      </c>
    </row>
    <row r="73" spans="1:6" ht="16.149999999999999" customHeight="1" x14ac:dyDescent="0.2">
      <c r="A73" s="57"/>
      <c r="B73" s="57"/>
      <c r="C73" s="34" t="s">
        <v>81</v>
      </c>
      <c r="D73" s="30" t="s">
        <v>24</v>
      </c>
      <c r="E73" s="31">
        <v>158</v>
      </c>
      <c r="F73" s="32">
        <v>20397864</v>
      </c>
    </row>
    <row r="74" spans="1:6" ht="16.149999999999999" customHeight="1" x14ac:dyDescent="0.2">
      <c r="A74" s="57"/>
      <c r="B74" s="57"/>
      <c r="C74" s="60" t="s">
        <v>82</v>
      </c>
      <c r="D74" s="83" t="s">
        <v>24</v>
      </c>
      <c r="E74" s="31">
        <v>138</v>
      </c>
      <c r="F74" s="32">
        <v>72505133</v>
      </c>
    </row>
    <row r="75" spans="1:6" ht="16.149999999999999" customHeight="1" x14ac:dyDescent="0.2">
      <c r="A75" s="57"/>
      <c r="B75" s="57"/>
      <c r="C75" s="60"/>
      <c r="D75" s="83"/>
      <c r="E75" s="31">
        <v>152</v>
      </c>
      <c r="F75" s="32">
        <v>2596091</v>
      </c>
    </row>
    <row r="76" spans="1:6" ht="16.149999999999999" customHeight="1" x14ac:dyDescent="0.2">
      <c r="A76" s="57"/>
      <c r="B76" s="57"/>
      <c r="C76" s="60"/>
      <c r="D76" s="83"/>
      <c r="E76" s="31">
        <v>158</v>
      </c>
      <c r="F76" s="32">
        <v>81220585</v>
      </c>
    </row>
    <row r="77" spans="1:6" ht="16.149999999999999" customHeight="1" x14ac:dyDescent="0.2">
      <c r="A77" s="57"/>
      <c r="B77" s="57"/>
      <c r="C77" s="34" t="s">
        <v>83</v>
      </c>
      <c r="D77" s="30" t="s">
        <v>24</v>
      </c>
      <c r="E77" s="31">
        <v>161</v>
      </c>
      <c r="F77" s="32">
        <v>19842300</v>
      </c>
    </row>
    <row r="78" spans="1:6" ht="16.149999999999999" customHeight="1" x14ac:dyDescent="0.2">
      <c r="A78" s="57"/>
      <c r="B78" s="57"/>
      <c r="C78" s="60" t="s">
        <v>84</v>
      </c>
      <c r="D78" s="83" t="s">
        <v>24</v>
      </c>
      <c r="E78" s="31">
        <v>158</v>
      </c>
      <c r="F78" s="32">
        <v>1335133</v>
      </c>
    </row>
    <row r="79" spans="1:6" ht="16.149999999999999" customHeight="1" x14ac:dyDescent="0.2">
      <c r="A79" s="57"/>
      <c r="B79" s="57"/>
      <c r="C79" s="60"/>
      <c r="D79" s="83"/>
      <c r="E79" s="31">
        <v>160</v>
      </c>
      <c r="F79" s="32">
        <f>144844118-4450443-14093070</f>
        <v>126300605</v>
      </c>
    </row>
    <row r="80" spans="1:6" ht="16.149999999999999" customHeight="1" x14ac:dyDescent="0.2">
      <c r="A80" s="63"/>
      <c r="B80" s="63"/>
      <c r="C80" s="34" t="s">
        <v>85</v>
      </c>
      <c r="D80" s="30" t="s">
        <v>25</v>
      </c>
      <c r="E80" s="31">
        <v>159</v>
      </c>
      <c r="F80" s="32">
        <v>2132504</v>
      </c>
    </row>
    <row r="81" spans="1:7" ht="16.149999999999999" customHeight="1" thickBot="1" x14ac:dyDescent="0.25">
      <c r="A81" s="61"/>
      <c r="B81" s="61"/>
      <c r="C81" s="97" t="s">
        <v>106</v>
      </c>
      <c r="D81" s="98" t="s">
        <v>22</v>
      </c>
      <c r="E81" s="99">
        <v>157</v>
      </c>
      <c r="F81" s="100">
        <v>95933376</v>
      </c>
      <c r="G81" s="16">
        <f>SUM(F60:F81)</f>
        <v>696955177</v>
      </c>
    </row>
    <row r="82" spans="1:7" ht="16.149999999999999" customHeight="1" x14ac:dyDescent="0.2">
      <c r="A82" s="54" t="s">
        <v>86</v>
      </c>
      <c r="B82" s="54" t="s">
        <v>98</v>
      </c>
      <c r="C82" s="75" t="s">
        <v>87</v>
      </c>
      <c r="D82" s="101" t="s">
        <v>15</v>
      </c>
      <c r="E82" s="89">
        <v>134</v>
      </c>
      <c r="F82" s="90">
        <v>3500519</v>
      </c>
      <c r="G82" s="16"/>
    </row>
    <row r="83" spans="1:7" ht="16.149999999999999" customHeight="1" x14ac:dyDescent="0.2">
      <c r="A83" s="55"/>
      <c r="B83" s="55"/>
      <c r="C83" s="79"/>
      <c r="D83" s="83"/>
      <c r="E83" s="31">
        <v>135</v>
      </c>
      <c r="F83" s="32">
        <v>3500516</v>
      </c>
      <c r="G83" s="16"/>
    </row>
    <row r="84" spans="1:7" ht="16.149999999999999" customHeight="1" x14ac:dyDescent="0.2">
      <c r="A84" s="55"/>
      <c r="B84" s="55"/>
      <c r="C84" s="79"/>
      <c r="D84" s="83"/>
      <c r="E84" s="31">
        <v>136</v>
      </c>
      <c r="F84" s="32">
        <v>3500516</v>
      </c>
      <c r="G84" s="16"/>
    </row>
    <row r="85" spans="1:7" ht="16.149999999999999" customHeight="1" x14ac:dyDescent="0.2">
      <c r="A85" s="55"/>
      <c r="B85" s="55"/>
      <c r="C85" s="79"/>
      <c r="D85" s="83"/>
      <c r="E85" s="31">
        <v>137</v>
      </c>
      <c r="F85" s="32">
        <v>3500516</v>
      </c>
      <c r="G85" s="16"/>
    </row>
    <row r="86" spans="1:7" ht="16.149999999999999" customHeight="1" x14ac:dyDescent="0.2">
      <c r="A86" s="55"/>
      <c r="B86" s="55"/>
      <c r="C86" s="79"/>
      <c r="D86" s="83" t="s">
        <v>39</v>
      </c>
      <c r="E86" s="31">
        <v>139</v>
      </c>
      <c r="F86" s="32">
        <v>4667355</v>
      </c>
      <c r="G86" s="16"/>
    </row>
    <row r="87" spans="1:7" ht="16.149999999999999" customHeight="1" x14ac:dyDescent="0.2">
      <c r="A87" s="55"/>
      <c r="B87" s="55"/>
      <c r="C87" s="79"/>
      <c r="D87" s="83"/>
      <c r="E87" s="31">
        <v>140</v>
      </c>
      <c r="F87" s="32">
        <v>4667356</v>
      </c>
      <c r="G87" s="16"/>
    </row>
    <row r="88" spans="1:7" ht="16.149999999999999" customHeight="1" x14ac:dyDescent="0.2">
      <c r="A88" s="55"/>
      <c r="B88" s="55"/>
      <c r="C88" s="79"/>
      <c r="D88" s="83"/>
      <c r="E88" s="31">
        <v>141</v>
      </c>
      <c r="F88" s="32">
        <v>4667356</v>
      </c>
      <c r="G88" s="16"/>
    </row>
    <row r="89" spans="1:7" ht="16.149999999999999" customHeight="1" x14ac:dyDescent="0.2">
      <c r="A89" s="55"/>
      <c r="B89" s="55"/>
      <c r="C89" s="79"/>
      <c r="D89" s="83" t="s">
        <v>16</v>
      </c>
      <c r="E89" s="31">
        <v>142</v>
      </c>
      <c r="F89" s="32">
        <v>7001034</v>
      </c>
      <c r="G89" s="16"/>
    </row>
    <row r="90" spans="1:7" ht="16.149999999999999" customHeight="1" x14ac:dyDescent="0.2">
      <c r="A90" s="55"/>
      <c r="B90" s="55"/>
      <c r="C90" s="79"/>
      <c r="D90" s="83"/>
      <c r="E90" s="31">
        <v>143</v>
      </c>
      <c r="F90" s="32">
        <v>7001033</v>
      </c>
      <c r="G90" s="16"/>
    </row>
    <row r="91" spans="1:7" ht="16.149999999999999" customHeight="1" x14ac:dyDescent="0.2">
      <c r="A91" s="55"/>
      <c r="B91" s="55"/>
      <c r="C91" s="79"/>
      <c r="D91" s="83" t="s">
        <v>17</v>
      </c>
      <c r="E91" s="31">
        <v>144</v>
      </c>
      <c r="F91" s="32">
        <v>3500518</v>
      </c>
      <c r="G91" s="16"/>
    </row>
    <row r="92" spans="1:7" ht="16.149999999999999" customHeight="1" x14ac:dyDescent="0.2">
      <c r="A92" s="55"/>
      <c r="B92" s="55"/>
      <c r="C92" s="79"/>
      <c r="D92" s="83"/>
      <c r="E92" s="31">
        <v>145</v>
      </c>
      <c r="F92" s="32">
        <v>3500516</v>
      </c>
      <c r="G92" s="16"/>
    </row>
    <row r="93" spans="1:7" ht="16.149999999999999" customHeight="1" x14ac:dyDescent="0.2">
      <c r="A93" s="55"/>
      <c r="B93" s="55"/>
      <c r="C93" s="79"/>
      <c r="D93" s="83"/>
      <c r="E93" s="31">
        <v>146</v>
      </c>
      <c r="F93" s="32">
        <v>3500516</v>
      </c>
      <c r="G93" s="16"/>
    </row>
    <row r="94" spans="1:7" ht="16.149999999999999" customHeight="1" x14ac:dyDescent="0.2">
      <c r="A94" s="55"/>
      <c r="B94" s="55"/>
      <c r="C94" s="79"/>
      <c r="D94" s="83"/>
      <c r="E94" s="31">
        <v>147</v>
      </c>
      <c r="F94" s="32">
        <v>3500517</v>
      </c>
      <c r="G94" s="16"/>
    </row>
    <row r="95" spans="1:7" ht="16.149999999999999" customHeight="1" x14ac:dyDescent="0.2">
      <c r="A95" s="55"/>
      <c r="B95" s="55"/>
      <c r="C95" s="79"/>
      <c r="D95" s="83" t="s">
        <v>18</v>
      </c>
      <c r="E95" s="31">
        <v>149</v>
      </c>
      <c r="F95" s="32">
        <v>7001034</v>
      </c>
      <c r="G95" s="16"/>
    </row>
    <row r="96" spans="1:7" ht="16.149999999999999" customHeight="1" x14ac:dyDescent="0.2">
      <c r="A96" s="55"/>
      <c r="B96" s="55"/>
      <c r="C96" s="79"/>
      <c r="D96" s="83"/>
      <c r="E96" s="31">
        <v>150</v>
      </c>
      <c r="F96" s="32">
        <v>7001033</v>
      </c>
      <c r="G96" s="16"/>
    </row>
    <row r="97" spans="1:7" ht="16.149999999999999" customHeight="1" x14ac:dyDescent="0.2">
      <c r="A97" s="55"/>
      <c r="B97" s="55"/>
      <c r="C97" s="79"/>
      <c r="D97" s="83" t="s">
        <v>19</v>
      </c>
      <c r="E97" s="31">
        <v>145</v>
      </c>
      <c r="F97" s="32">
        <v>2800414</v>
      </c>
      <c r="G97" s="16"/>
    </row>
    <row r="98" spans="1:7" ht="16.149999999999999" customHeight="1" x14ac:dyDescent="0.2">
      <c r="A98" s="55"/>
      <c r="B98" s="55"/>
      <c r="C98" s="79"/>
      <c r="D98" s="83"/>
      <c r="E98" s="31">
        <v>148</v>
      </c>
      <c r="F98" s="32">
        <v>2800414</v>
      </c>
      <c r="G98" s="16"/>
    </row>
    <row r="99" spans="1:7" ht="16.149999999999999" customHeight="1" x14ac:dyDescent="0.2">
      <c r="A99" s="55"/>
      <c r="B99" s="55"/>
      <c r="C99" s="79"/>
      <c r="D99" s="83"/>
      <c r="E99" s="31">
        <v>149</v>
      </c>
      <c r="F99" s="32">
        <v>2800413</v>
      </c>
      <c r="G99" s="16"/>
    </row>
    <row r="100" spans="1:7" ht="16.149999999999999" customHeight="1" x14ac:dyDescent="0.2">
      <c r="A100" s="55"/>
      <c r="B100" s="55"/>
      <c r="C100" s="79"/>
      <c r="D100" s="83"/>
      <c r="E100" s="31">
        <v>150</v>
      </c>
      <c r="F100" s="32">
        <v>2800413</v>
      </c>
      <c r="G100" s="16"/>
    </row>
    <row r="101" spans="1:7" ht="16.149999999999999" customHeight="1" x14ac:dyDescent="0.2">
      <c r="A101" s="55"/>
      <c r="B101" s="55"/>
      <c r="C101" s="79"/>
      <c r="D101" s="83"/>
      <c r="E101" s="31">
        <v>151</v>
      </c>
      <c r="F101" s="32">
        <v>2800413</v>
      </c>
      <c r="G101" s="16"/>
    </row>
    <row r="102" spans="1:7" ht="16.149999999999999" customHeight="1" x14ac:dyDescent="0.2">
      <c r="A102" s="55"/>
      <c r="B102" s="55"/>
      <c r="C102" s="79"/>
      <c r="D102" s="83" t="s">
        <v>20</v>
      </c>
      <c r="E102" s="31">
        <v>145</v>
      </c>
      <c r="F102" s="32">
        <v>2800414</v>
      </c>
      <c r="G102" s="16"/>
    </row>
    <row r="103" spans="1:7" ht="16.149999999999999" customHeight="1" x14ac:dyDescent="0.2">
      <c r="A103" s="55"/>
      <c r="B103" s="55"/>
      <c r="C103" s="79"/>
      <c r="D103" s="83"/>
      <c r="E103" s="31">
        <v>146</v>
      </c>
      <c r="F103" s="32">
        <v>2800413</v>
      </c>
      <c r="G103" s="16"/>
    </row>
    <row r="104" spans="1:7" ht="16.149999999999999" customHeight="1" x14ac:dyDescent="0.2">
      <c r="A104" s="55"/>
      <c r="B104" s="55"/>
      <c r="C104" s="79"/>
      <c r="D104" s="83"/>
      <c r="E104" s="31">
        <v>147</v>
      </c>
      <c r="F104" s="32">
        <v>2800414</v>
      </c>
      <c r="G104" s="16"/>
    </row>
    <row r="105" spans="1:7" ht="16.149999999999999" customHeight="1" x14ac:dyDescent="0.2">
      <c r="A105" s="55"/>
      <c r="B105" s="55"/>
      <c r="C105" s="79"/>
      <c r="D105" s="83"/>
      <c r="E105" s="31">
        <v>149</v>
      </c>
      <c r="F105" s="32">
        <v>2800413</v>
      </c>
      <c r="G105" s="16"/>
    </row>
    <row r="106" spans="1:7" ht="16.149999999999999" customHeight="1" x14ac:dyDescent="0.2">
      <c r="A106" s="55"/>
      <c r="B106" s="55"/>
      <c r="C106" s="79"/>
      <c r="D106" s="83"/>
      <c r="E106" s="31">
        <v>151</v>
      </c>
      <c r="F106" s="32">
        <v>2800413</v>
      </c>
      <c r="G106" s="16"/>
    </row>
    <row r="107" spans="1:7" ht="16.149999999999999" customHeight="1" x14ac:dyDescent="0.2">
      <c r="A107" s="55"/>
      <c r="B107" s="55"/>
      <c r="C107" s="79"/>
      <c r="D107" s="83" t="s">
        <v>21</v>
      </c>
      <c r="E107" s="31">
        <v>138</v>
      </c>
      <c r="F107" s="32">
        <v>4667356</v>
      </c>
      <c r="G107" s="16"/>
    </row>
    <row r="108" spans="1:7" ht="16.149999999999999" customHeight="1" x14ac:dyDescent="0.2">
      <c r="A108" s="55"/>
      <c r="B108" s="55"/>
      <c r="C108" s="79"/>
      <c r="D108" s="83"/>
      <c r="E108" s="31">
        <v>152</v>
      </c>
      <c r="F108" s="32">
        <v>4667356</v>
      </c>
      <c r="G108" s="16"/>
    </row>
    <row r="109" spans="1:7" ht="16.149999999999999" customHeight="1" x14ac:dyDescent="0.2">
      <c r="A109" s="55"/>
      <c r="B109" s="55"/>
      <c r="C109" s="79"/>
      <c r="D109" s="83"/>
      <c r="E109" s="31">
        <v>153</v>
      </c>
      <c r="F109" s="32">
        <v>4667355</v>
      </c>
      <c r="G109" s="16"/>
    </row>
    <row r="110" spans="1:7" ht="16.149999999999999" customHeight="1" x14ac:dyDescent="0.2">
      <c r="A110" s="55"/>
      <c r="B110" s="55"/>
      <c r="C110" s="79"/>
      <c r="D110" s="83" t="s">
        <v>22</v>
      </c>
      <c r="E110" s="31">
        <v>156</v>
      </c>
      <c r="F110" s="32">
        <v>7001034</v>
      </c>
      <c r="G110" s="16"/>
    </row>
    <row r="111" spans="1:7" ht="16.149999999999999" customHeight="1" x14ac:dyDescent="0.2">
      <c r="A111" s="55"/>
      <c r="B111" s="55"/>
      <c r="C111" s="79"/>
      <c r="D111" s="83"/>
      <c r="E111" s="31">
        <v>157</v>
      </c>
      <c r="F111" s="32">
        <v>7001033</v>
      </c>
      <c r="G111" s="16"/>
    </row>
    <row r="112" spans="1:7" ht="16.149999999999999" customHeight="1" x14ac:dyDescent="0.2">
      <c r="A112" s="55"/>
      <c r="B112" s="55"/>
      <c r="C112" s="79"/>
      <c r="D112" s="83" t="s">
        <v>24</v>
      </c>
      <c r="E112" s="31">
        <v>158</v>
      </c>
      <c r="F112" s="32">
        <v>2800415</v>
      </c>
      <c r="G112" s="16"/>
    </row>
    <row r="113" spans="1:8" ht="16.149999999999999" customHeight="1" x14ac:dyDescent="0.2">
      <c r="A113" s="55"/>
      <c r="B113" s="55"/>
      <c r="C113" s="79"/>
      <c r="D113" s="83"/>
      <c r="E113" s="31">
        <v>159</v>
      </c>
      <c r="F113" s="32">
        <v>2800413</v>
      </c>
      <c r="G113" s="16"/>
    </row>
    <row r="114" spans="1:8" ht="16.149999999999999" customHeight="1" x14ac:dyDescent="0.2">
      <c r="A114" s="55"/>
      <c r="B114" s="55"/>
      <c r="C114" s="79"/>
      <c r="D114" s="83"/>
      <c r="E114" s="31">
        <v>160</v>
      </c>
      <c r="F114" s="32">
        <v>2800413</v>
      </c>
      <c r="G114" s="16"/>
    </row>
    <row r="115" spans="1:8" ht="16.149999999999999" customHeight="1" x14ac:dyDescent="0.2">
      <c r="A115" s="55"/>
      <c r="B115" s="55"/>
      <c r="C115" s="79"/>
      <c r="D115" s="83"/>
      <c r="E115" s="31">
        <v>161</v>
      </c>
      <c r="F115" s="32">
        <v>2800413</v>
      </c>
      <c r="G115" s="16"/>
    </row>
    <row r="116" spans="1:8" ht="16.149999999999999" customHeight="1" x14ac:dyDescent="0.2">
      <c r="A116" s="55"/>
      <c r="B116" s="55"/>
      <c r="C116" s="79"/>
      <c r="D116" s="83"/>
      <c r="E116" s="31">
        <v>162</v>
      </c>
      <c r="F116" s="32">
        <v>2800413</v>
      </c>
      <c r="G116" s="16"/>
    </row>
    <row r="117" spans="1:8" ht="16.149999999999999" customHeight="1" thickBot="1" x14ac:dyDescent="0.25">
      <c r="A117" s="56"/>
      <c r="B117" s="56"/>
      <c r="C117" s="102"/>
      <c r="D117" s="96" t="s">
        <v>25</v>
      </c>
      <c r="E117" s="86">
        <v>163</v>
      </c>
      <c r="F117" s="87">
        <v>14002073</v>
      </c>
      <c r="G117" s="16">
        <f>SUM(F82:F117)</f>
        <v>154022743</v>
      </c>
    </row>
    <row r="118" spans="1:8" x14ac:dyDescent="0.2">
      <c r="A118" s="58" t="s">
        <v>105</v>
      </c>
      <c r="B118" s="58" t="s">
        <v>98</v>
      </c>
      <c r="C118" s="103" t="s">
        <v>101</v>
      </c>
      <c r="D118" s="101" t="s">
        <v>102</v>
      </c>
      <c r="E118" s="89">
        <v>179</v>
      </c>
      <c r="F118" s="90">
        <v>6398560</v>
      </c>
    </row>
    <row r="119" spans="1:8" x14ac:dyDescent="0.2">
      <c r="A119" s="57"/>
      <c r="B119" s="57"/>
      <c r="C119" s="60"/>
      <c r="D119" s="83"/>
      <c r="E119" s="31">
        <v>180</v>
      </c>
      <c r="F119" s="32">
        <v>142367952</v>
      </c>
    </row>
    <row r="120" spans="1:8" x14ac:dyDescent="0.2">
      <c r="A120" s="57"/>
      <c r="B120" s="57"/>
      <c r="C120" s="60"/>
      <c r="D120" s="83"/>
      <c r="E120" s="31">
        <v>181</v>
      </c>
      <c r="F120" s="32">
        <v>4798920</v>
      </c>
    </row>
    <row r="121" spans="1:8" ht="15.75" thickBot="1" x14ac:dyDescent="0.25">
      <c r="A121" s="61"/>
      <c r="B121" s="61"/>
      <c r="C121" s="91"/>
      <c r="D121" s="92"/>
      <c r="E121" s="86">
        <v>182</v>
      </c>
      <c r="F121" s="87">
        <v>6398559</v>
      </c>
      <c r="G121" s="16">
        <f>SUM(F118:F121)</f>
        <v>159963991</v>
      </c>
      <c r="H121" s="16">
        <f>G46+G50+G59+G81+G117+G121</f>
        <v>4049099776</v>
      </c>
    </row>
    <row r="122" spans="1:8" x14ac:dyDescent="0.2">
      <c r="A122" s="7"/>
    </row>
  </sheetData>
  <mergeCells count="51">
    <mergeCell ref="A118:A121"/>
    <mergeCell ref="B118:B121"/>
    <mergeCell ref="C118:C121"/>
    <mergeCell ref="D118:D121"/>
    <mergeCell ref="B4:B46"/>
    <mergeCell ref="D62:D63"/>
    <mergeCell ref="C62:C63"/>
    <mergeCell ref="B60:B81"/>
    <mergeCell ref="A60:A81"/>
    <mergeCell ref="A4:A46"/>
    <mergeCell ref="C32:C33"/>
    <mergeCell ref="C38:C40"/>
    <mergeCell ref="C49:C50"/>
    <mergeCell ref="D24:D25"/>
    <mergeCell ref="D26:D30"/>
    <mergeCell ref="B51:B59"/>
    <mergeCell ref="F2:F3"/>
    <mergeCell ref="A47:A50"/>
    <mergeCell ref="B47:B50"/>
    <mergeCell ref="D11:D12"/>
    <mergeCell ref="D4:D9"/>
    <mergeCell ref="D13:D15"/>
    <mergeCell ref="D17:D19"/>
    <mergeCell ref="D20:D22"/>
    <mergeCell ref="C4:C31"/>
    <mergeCell ref="A51:A59"/>
    <mergeCell ref="D55:D56"/>
    <mergeCell ref="C55:C56"/>
    <mergeCell ref="D32:D33"/>
    <mergeCell ref="D38:D40"/>
    <mergeCell ref="D49:D50"/>
    <mergeCell ref="D74:D76"/>
    <mergeCell ref="C74:C76"/>
    <mergeCell ref="D78:D79"/>
    <mergeCell ref="C78:C79"/>
    <mergeCell ref="C53:C54"/>
    <mergeCell ref="D65:D66"/>
    <mergeCell ref="C65:C66"/>
    <mergeCell ref="A82:A117"/>
    <mergeCell ref="D112:D116"/>
    <mergeCell ref="D110:D111"/>
    <mergeCell ref="D107:D109"/>
    <mergeCell ref="D102:D106"/>
    <mergeCell ref="D97:D101"/>
    <mergeCell ref="D95:D96"/>
    <mergeCell ref="D82:D85"/>
    <mergeCell ref="D91:D94"/>
    <mergeCell ref="D89:D90"/>
    <mergeCell ref="D86:D88"/>
    <mergeCell ref="C82:C117"/>
    <mergeCell ref="B82:B1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2</vt:lpstr>
      <vt:lpstr>zał. 3</vt:lpstr>
      <vt:lpstr>'zał. 2'!Obszar_wydruku</vt:lpstr>
    </vt:vector>
  </TitlesOfParts>
  <Company>GOV.PL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Elzbieta Radzikowska</dc:creator>
  <cp:lastModifiedBy>Jagiełło Ryszard</cp:lastModifiedBy>
  <cp:lastPrinted>2025-01-09T11:58:33Z</cp:lastPrinted>
  <dcterms:created xsi:type="dcterms:W3CDTF">2022-12-01T12:07:09Z</dcterms:created>
  <dcterms:modified xsi:type="dcterms:W3CDTF">2025-01-15T14:06:26Z</dcterms:modified>
</cp:coreProperties>
</file>